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285" windowWidth="15480" windowHeight="4905" tabRatio="868" activeTab="0"/>
  </bookViews>
  <sheets>
    <sheet name="Content" sheetId="1" r:id="rId1"/>
    <sheet name="Financial highlights - HUF bn" sheetId="2" r:id="rId2"/>
    <sheet name="Financial highlights - USD mn" sheetId="3" r:id="rId3"/>
    <sheet name="E&amp;P financial results" sheetId="4" r:id="rId4"/>
    <sheet name="E&amp;P operational data" sheetId="5" r:id="rId5"/>
    <sheet name="Downstream financial results" sheetId="6" r:id="rId6"/>
    <sheet name="R&amp;M operational data" sheetId="7" r:id="rId7"/>
    <sheet name="Petchem financial results" sheetId="8" r:id="rId8"/>
    <sheet name="Gas financial results" sheetId="9" r:id="rId9"/>
    <sheet name="Gas operational data" sheetId="10" r:id="rId10"/>
    <sheet name="Profit and loss" sheetId="11" r:id="rId11"/>
    <sheet name="Balance sheet" sheetId="12" r:id="rId12"/>
    <sheet name="Cash flow" sheetId="13" r:id="rId13"/>
    <sheet name="Segment tables - HUF mn" sheetId="14" r:id="rId14"/>
    <sheet name="Segment tables - USD mn" sheetId="15" r:id="rId15"/>
    <sheet name="Spec items - HUF mn" sheetId="16" r:id="rId16"/>
    <sheet name="Spec items - USD mn" sheetId="17" r:id="rId17"/>
    <sheet name="CAPEX - HUF bn" sheetId="18" r:id="rId18"/>
    <sheet name="External parameters" sheetId="19" r:id="rId19"/>
    <sheet name="Shareholder structure" sheetId="20" r:id="rId20"/>
  </sheets>
  <definedNames>
    <definedName name="_ftn1" localSheetId="11">'Balance sheet'!$A$55</definedName>
    <definedName name="_ftnref1" localSheetId="11">'Balance sheet'!$A$28</definedName>
    <definedName name="_xlnm.Print_Titles" localSheetId="1">'Financial highlights - HUF bn'!$A:$A,'Financial highlights - HUF bn'!$2:$2</definedName>
    <definedName name="_xlnm.Print_Area" localSheetId="3">'E&amp;P financial results'!$1:$22</definedName>
    <definedName name="_xlnm.Print_Area" localSheetId="4">'E&amp;P operational data'!$A$1:$AU$75</definedName>
    <definedName name="_xlnm.Print_Area" localSheetId="1">'Financial highlights - HUF bn'!$A$1:$W$25</definedName>
    <definedName name="_xlnm.Print_Area" localSheetId="8">'Gas financial results'!$A$3:$AW$19</definedName>
    <definedName name="_xlnm.Print_Area" localSheetId="9">'Gas operational data'!$A$2:$AF$13</definedName>
    <definedName name="_xlnm.Print_Area" localSheetId="14">'Segment tables - USD mn'!$A$1:$V$30</definedName>
  </definedNames>
  <calcPr fullCalcOnLoad="1"/>
</workbook>
</file>

<file path=xl/comments5.xml><?xml version="1.0" encoding="utf-8"?>
<comments xmlns="http://schemas.openxmlformats.org/spreadsheetml/2006/main">
  <authors>
    <author>kototh</author>
  </authors>
  <commentList>
    <comment ref="AX28" authorId="0">
      <text>
        <r>
          <rPr>
            <b/>
            <sz val="8"/>
            <rFont val="Tahoma"/>
            <family val="2"/>
          </rPr>
          <t>kototh:</t>
        </r>
        <r>
          <rPr>
            <sz val="8"/>
            <rFont val="Tahoma"/>
            <family val="2"/>
          </rPr>
          <t xml:space="preserve">
változott a legutóbb kiadotthoz képest</t>
        </r>
      </text>
    </comment>
  </commentList>
</comments>
</file>

<file path=xl/sharedStrings.xml><?xml version="1.0" encoding="utf-8"?>
<sst xmlns="http://schemas.openxmlformats.org/spreadsheetml/2006/main" count="4974" uniqueCount="623">
  <si>
    <t xml:space="preserve">2 This line shows the effect on operating profit of the change in the amount of unrealised profit deferred in respect of transfers between segments. Unrealised profits arise where the item transferred is held in inventory by the receiving segment and a third party sale takes place only in a subsequent quarter. For segmental reporting purposes the transferor segment records a profit immediately at the point of transfer. However, at the company level profit is only reported when the related third party sale has taken place. In previous years this unrealised profit effect was not shown separately, but was included in the reported segmental result of the receiving segment. Unrealised profits arise principally in respect of transfers from Exploration &amp; Production to Natural Gas and from Refining &amp; Marketing to Petrochemicals. </t>
  </si>
  <si>
    <t>KEY IFRS FINANCIAL DATA BY BUSINESS SEGMENT - (in USD million)</t>
  </si>
  <si>
    <t>Q1 2001</t>
  </si>
  <si>
    <t>Q2 2001</t>
  </si>
  <si>
    <t>Q3 2001</t>
  </si>
  <si>
    <t>Q4 2001</t>
  </si>
  <si>
    <t>FY 2001</t>
  </si>
  <si>
    <t>Net sales revenues</t>
  </si>
  <si>
    <t>EBITDA</t>
  </si>
  <si>
    <t>Operating profit</t>
  </si>
  <si>
    <t>Net financial expenses/(gain)</t>
  </si>
  <si>
    <t>Operating cash flow</t>
  </si>
  <si>
    <t>Q1 2002</t>
  </si>
  <si>
    <t>Q2 2002</t>
  </si>
  <si>
    <t>Q3 2002</t>
  </si>
  <si>
    <t>Q4 2002</t>
  </si>
  <si>
    <t>FY 2002</t>
  </si>
  <si>
    <t>Q1 2003</t>
  </si>
  <si>
    <t>Q2 2003</t>
  </si>
  <si>
    <t>Q3 2003</t>
  </si>
  <si>
    <t>Q4 2003</t>
  </si>
  <si>
    <t>FY 2003</t>
  </si>
  <si>
    <t>Q1 2004</t>
  </si>
  <si>
    <t>Q2 2004</t>
  </si>
  <si>
    <t>Q3 2004</t>
  </si>
  <si>
    <t>Q4 2004</t>
  </si>
  <si>
    <t>FY 2004</t>
  </si>
  <si>
    <t>Q1 2005</t>
  </si>
  <si>
    <t>Q2 2005</t>
  </si>
  <si>
    <t>Q3 2005</t>
  </si>
  <si>
    <t>Q4 2005</t>
  </si>
  <si>
    <t>FY 2005</t>
  </si>
  <si>
    <t>Q1 2006</t>
  </si>
  <si>
    <t>Q2 2006</t>
  </si>
  <si>
    <t>Q3 2006</t>
  </si>
  <si>
    <t>Operating profit/(loss)</t>
  </si>
  <si>
    <t>Crude oil production (kt) *</t>
  </si>
  <si>
    <t xml:space="preserve">   Hungary</t>
  </si>
  <si>
    <t>Condensate (kt)</t>
  </si>
  <si>
    <t>LPG and other gas products (kt)</t>
  </si>
  <si>
    <t>Average hydrocarbon prod. (boe/d)</t>
  </si>
  <si>
    <t>**Domestic production, excluding original cushion gas production from gas storage.</t>
  </si>
  <si>
    <t>Average realised crude oil price (USD/bbl)</t>
  </si>
  <si>
    <t>Realised hydrocarbon price</t>
  </si>
  <si>
    <t>Domestic crude oil</t>
  </si>
  <si>
    <t>Imported crude oil</t>
  </si>
  <si>
    <t>Condensates</t>
  </si>
  <si>
    <t>Other feedstock</t>
  </si>
  <si>
    <t>Motor gasoline</t>
  </si>
  <si>
    <t>Gas and heating oil</t>
  </si>
  <si>
    <t>Naphtha</t>
  </si>
  <si>
    <t>Other products</t>
  </si>
  <si>
    <t>TOTAL PRODUCT</t>
  </si>
  <si>
    <t>TOTAL REFINERY PRODUCTION</t>
  </si>
  <si>
    <t>TOTAL REFINERY THROUGHPUT</t>
  </si>
  <si>
    <t>Hungary</t>
  </si>
  <si>
    <t>Slovakia</t>
  </si>
  <si>
    <t>Other markets</t>
  </si>
  <si>
    <t>TOTAL CRUDE OIL PRODUCT SALES</t>
  </si>
  <si>
    <t>Gas and heating oils</t>
  </si>
  <si>
    <t xml:space="preserve"> Petrochemical feedstock transfer</t>
  </si>
  <si>
    <t>TOTAL OIL PRODUCT RETAIL SALES</t>
  </si>
  <si>
    <t>Petrochemicals</t>
  </si>
  <si>
    <t>Ethylene</t>
  </si>
  <si>
    <t>Propylene</t>
  </si>
  <si>
    <t>LDPE</t>
  </si>
  <si>
    <t>HDPE</t>
  </si>
  <si>
    <t>PP</t>
  </si>
  <si>
    <t>Olefin products</t>
  </si>
  <si>
    <t>Polymer products</t>
  </si>
  <si>
    <t>TOTAL PETROCHEMICAL PRODUCT SALES</t>
  </si>
  <si>
    <t>Natural Gas</t>
  </si>
  <si>
    <t>Reported EBIT</t>
  </si>
  <si>
    <t>One – off items</t>
  </si>
  <si>
    <t>Replacement modification</t>
  </si>
  <si>
    <t>Estimated clean CCS</t>
  </si>
  <si>
    <t>Natural gas transit</t>
  </si>
  <si>
    <t>Hungarian natural gas transmission fee</t>
  </si>
  <si>
    <t>Hungarian natural gas transmission*</t>
  </si>
  <si>
    <t>* including transmission volume to the storages</t>
  </si>
  <si>
    <t>Consolidated statements of operations for the MOL Group (IFRS)</t>
  </si>
  <si>
    <t>Net sales</t>
  </si>
  <si>
    <t>Other operating income</t>
  </si>
  <si>
    <t>Total operating revenues</t>
  </si>
  <si>
    <t xml:space="preserve">Raw material costs </t>
  </si>
  <si>
    <t>Value of material-type services used</t>
  </si>
  <si>
    <t>Cost of goods purchased for resale</t>
  </si>
  <si>
    <t xml:space="preserve">  Raw material and consumables used</t>
  </si>
  <si>
    <t>Personnel expenses</t>
  </si>
  <si>
    <t>Depreciation, depletion, amortisation and impairment</t>
  </si>
  <si>
    <t>Other operating expenses</t>
  </si>
  <si>
    <t>Change in inventory of finished goods &amp; work in progress</t>
  </si>
  <si>
    <t>Work performed by the enterprise and capitalised</t>
  </si>
  <si>
    <t>Total operating expenses</t>
  </si>
  <si>
    <t xml:space="preserve">Operating profit </t>
  </si>
  <si>
    <t>Interest received</t>
  </si>
  <si>
    <t>Dividends received</t>
  </si>
  <si>
    <t>Exchange gains and other financial income</t>
  </si>
  <si>
    <t xml:space="preserve">  Total financial income</t>
  </si>
  <si>
    <t>Interest on borrowings</t>
  </si>
  <si>
    <t>Interest on provisions</t>
  </si>
  <si>
    <t>Write-off of financial investments</t>
  </si>
  <si>
    <t>Fair valuation difference of conversion option</t>
  </si>
  <si>
    <t xml:space="preserve">  Total financial expense</t>
  </si>
  <si>
    <t>Financial expense/(gain), net</t>
  </si>
  <si>
    <t>Income from associates</t>
  </si>
  <si>
    <t>Profit before tax</t>
  </si>
  <si>
    <t>Income tax expense</t>
  </si>
  <si>
    <t>Attributable to:</t>
  </si>
  <si>
    <t xml:space="preserve">       Equity holders of the parent</t>
  </si>
  <si>
    <t>Basic earnings per share (HUF)</t>
  </si>
  <si>
    <t>Consolidated balance sheet for the MOL Group (IFRS)</t>
  </si>
  <si>
    <t xml:space="preserve"> Assets</t>
  </si>
  <si>
    <t xml:space="preserve"> Non-current assets</t>
  </si>
  <si>
    <t xml:space="preserve"> Intangible assets</t>
  </si>
  <si>
    <t xml:space="preserve"> Deferred tax asset</t>
  </si>
  <si>
    <t xml:space="preserve"> Other non-current assets</t>
  </si>
  <si>
    <t xml:space="preserve"> Total non-current assets</t>
  </si>
  <si>
    <t xml:space="preserve"> Current assets</t>
  </si>
  <si>
    <t xml:space="preserve"> Inventories</t>
  </si>
  <si>
    <t xml:space="preserve"> Marketable securities</t>
  </si>
  <si>
    <t xml:space="preserve"> Other current assets</t>
  </si>
  <si>
    <t xml:space="preserve"> Cash and cash equivalents</t>
  </si>
  <si>
    <t xml:space="preserve"> Total current assets</t>
  </si>
  <si>
    <t xml:space="preserve"> Total assets</t>
  </si>
  <si>
    <t xml:space="preserve"> Liabilities and shareholders’ equity </t>
  </si>
  <si>
    <t xml:space="preserve"> Shareholders’ equity</t>
  </si>
  <si>
    <t xml:space="preserve"> Reserves</t>
  </si>
  <si>
    <t xml:space="preserve"> Net income attributable to equity holders of the parent</t>
  </si>
  <si>
    <t xml:space="preserve"> Equity attributable to equity holders of the parent</t>
  </si>
  <si>
    <t xml:space="preserve"> Minority interest</t>
  </si>
  <si>
    <t xml:space="preserve"> Total equity</t>
  </si>
  <si>
    <t xml:space="preserve"> </t>
  </si>
  <si>
    <t xml:space="preserve"> Non-current liabilities</t>
  </si>
  <si>
    <t xml:space="preserve"> Provisions for liabilities and charges</t>
  </si>
  <si>
    <t xml:space="preserve"> Deferred tax liability</t>
  </si>
  <si>
    <t xml:space="preserve"> Other non-current liabilities</t>
  </si>
  <si>
    <t xml:space="preserve"> Total non-current liabilities</t>
  </si>
  <si>
    <t xml:space="preserve"> Current liabilities</t>
  </si>
  <si>
    <t xml:space="preserve"> Trade and other payables</t>
  </si>
  <si>
    <t xml:space="preserve"> Short-term debt</t>
  </si>
  <si>
    <t xml:space="preserve"> Current portion of long-term debt</t>
  </si>
  <si>
    <t xml:space="preserve"> Total current liabilities</t>
  </si>
  <si>
    <t xml:space="preserve"> Total liabilities and shareholders’ equity</t>
  </si>
  <si>
    <t xml:space="preserve"> Share capital</t>
  </si>
  <si>
    <t>Consolidated statements of cash flows for the MOL Group (IFRS)</t>
  </si>
  <si>
    <t>Profit from operations</t>
  </si>
  <si>
    <t>Net unrealised loss  recorded on financial instruments</t>
  </si>
  <si>
    <t>Reversal of impairment losses on PP&amp;E</t>
  </si>
  <si>
    <t>Write off / (reversal of write off) of receivables</t>
  </si>
  <si>
    <t>Unrealised foreign exchange (gain) and loss on receivables and payables</t>
  </si>
  <si>
    <t>Net gain on sale of subsidiaries</t>
  </si>
  <si>
    <t xml:space="preserve">Exploration and development costs expensed during the year </t>
  </si>
  <si>
    <t>Cost of share based payment</t>
  </si>
  <si>
    <t>Other non cash items</t>
  </si>
  <si>
    <t>Operating cash flow before changes in working capital</t>
  </si>
  <si>
    <t>(Increase) / decrease  in inventories</t>
  </si>
  <si>
    <t>(Increase) / decrease in accounts receivable</t>
  </si>
  <si>
    <t>(Increase) / decrease in other receivables</t>
  </si>
  <si>
    <t>Increase / (decrease) in accounts payable</t>
  </si>
  <si>
    <t>Increase / (decrease) in other current liabilities</t>
  </si>
  <si>
    <t>Corporate taxes paid</t>
  </si>
  <si>
    <t>Net cash provided by operating activities</t>
  </si>
  <si>
    <t>Capital expenditures, exploration and development costs</t>
  </si>
  <si>
    <t xml:space="preserve">Acquisition of subsidiaries, net cash </t>
  </si>
  <si>
    <t xml:space="preserve">Acquisition of joint ventures, net cash </t>
  </si>
  <si>
    <t>Acquisition of other investments</t>
  </si>
  <si>
    <t>Net cash inflow on sales on subsidiary undertakings</t>
  </si>
  <si>
    <t>Proceeds from disposal of investments</t>
  </si>
  <si>
    <t>Changes in loans given and long-term bank deposits</t>
  </si>
  <si>
    <t>Changes in short-term investments</t>
  </si>
  <si>
    <t>Interest received and other financial income</t>
  </si>
  <si>
    <t>Net cash (used in) / provided by investing activities</t>
  </si>
  <si>
    <t>Issuance of Perpetual Exchangeable Capital Securities</t>
  </si>
  <si>
    <t>Issuance of long-term notes</t>
  </si>
  <si>
    <t>Repayment of long-term notes</t>
  </si>
  <si>
    <t>Repayment of zero coupon notes</t>
  </si>
  <si>
    <t xml:space="preserve">Long-term debt drawn down  </t>
  </si>
  <si>
    <t>Changes in other long-term liabilities</t>
  </si>
  <si>
    <t>Changes in short-term debt</t>
  </si>
  <si>
    <t>Interest paid and other financial costs</t>
  </si>
  <si>
    <t>Dividends paid to shareholders</t>
  </si>
  <si>
    <t>Dividends paid to minority interest</t>
  </si>
  <si>
    <t>Sale of treasury shares</t>
  </si>
  <si>
    <t>Repurchase of treasury shares</t>
  </si>
  <si>
    <t>Net cash used in financing activities</t>
  </si>
  <si>
    <t>Increase/(decrease) in cash and cash equivalents</t>
  </si>
  <si>
    <t>Cash at the beginning of the period</t>
  </si>
  <si>
    <t>Cash effect of consolidation of subsidiaries previously accounted for as other investment</t>
  </si>
  <si>
    <t>Exchange differences on the consolidation of foreign subsidiaries</t>
  </si>
  <si>
    <t xml:space="preserve">Cash at the end of the period </t>
  </si>
  <si>
    <t>KEY IFRS FINANCIAL DATA BY BUSINESS SEGMENT (in HUF million)</t>
  </si>
  <si>
    <t>Exploration and Production</t>
  </si>
  <si>
    <t>Refining and Marketing</t>
  </si>
  <si>
    <t xml:space="preserve">Natural Gas </t>
  </si>
  <si>
    <t>Corporate and other</t>
  </si>
  <si>
    <t>TOTAL NET SALES REVENUES</t>
  </si>
  <si>
    <t>Less: Inter(segment transfers)</t>
  </si>
  <si>
    <t xml:space="preserve">     ow: Exploration and Production</t>
  </si>
  <si>
    <t xml:space="preserve">     ow: Refining and Marketing</t>
  </si>
  <si>
    <t xml:space="preserve">     ow: Natural Gas</t>
  </si>
  <si>
    <t xml:space="preserve">     ow: Petrochemicals</t>
  </si>
  <si>
    <t xml:space="preserve">     ow: Corporate and other</t>
  </si>
  <si>
    <t>TOTAL NET EXTERNAL SALES REVENUES</t>
  </si>
  <si>
    <t>Natural Gas *</t>
  </si>
  <si>
    <t>TOTAL</t>
  </si>
  <si>
    <t xml:space="preserve">*Gas segment operating profit, in addition to subsidiary results, includes segment level consolidation effects and the one-off effects of asset sale. </t>
  </si>
  <si>
    <t>KEY IFRS FINANCIAL DATA BY BUSINESS SEGMENT (in USD million)</t>
  </si>
  <si>
    <t>MAIN EXTERNAL PARAMETERS</t>
  </si>
  <si>
    <t>Brent dated (USD/bbl)</t>
  </si>
  <si>
    <t>Ural Blend (USD/bbl)</t>
  </si>
  <si>
    <t>Ethylene (EUR/t)</t>
  </si>
  <si>
    <t>Integrated petrochemical margin (EUR/t)</t>
  </si>
  <si>
    <t>HUF/USD average</t>
  </si>
  <si>
    <t>HUF/USD closing rate</t>
  </si>
  <si>
    <t>HUF/EUR closing rate</t>
  </si>
  <si>
    <t>SHAREHOLDER STRUCTURE (%)</t>
  </si>
  <si>
    <t>Foreign investors (mainly institutional)</t>
  </si>
  <si>
    <t>Slovbena, Slovintegra</t>
  </si>
  <si>
    <t>BNP Paribas</t>
  </si>
  <si>
    <t>Exploration &amp; Production segment IFRS results (in HUF bn)</t>
  </si>
  <si>
    <t>Refining &amp; Marketing segment IFRS results (in HUF bn)</t>
  </si>
  <si>
    <t>Petrochemical segment IFRS results (in HUF bn)</t>
  </si>
  <si>
    <t>Gas segment IFRS results (in HUF bn)</t>
  </si>
  <si>
    <t>MOL Group IFRS results (in HUF bn)</t>
  </si>
  <si>
    <t>MOL Group IFRS results (in USD mn)</t>
  </si>
  <si>
    <t>FY 2004 audited</t>
  </si>
  <si>
    <t>audited</t>
  </si>
  <si>
    <t>Acquisition of associated companies</t>
  </si>
  <si>
    <t>Sale of treasury shares / Repurchase of treasury share</t>
  </si>
  <si>
    <t>Isuance / Repayment of zero coupon notes</t>
  </si>
  <si>
    <t xml:space="preserve">*Excluding separated condensate </t>
  </si>
  <si>
    <t>Average realised total hydrocarbon price (USD/boe)</t>
  </si>
  <si>
    <t>Inventory valuation effect</t>
  </si>
  <si>
    <t>**</t>
  </si>
  <si>
    <t>* not the sum of the quarters' data, as its was adjusted</t>
  </si>
  <si>
    <t>** no one-off items reported in the annual report</t>
  </si>
  <si>
    <t>Premium unleaded gasoline 10 ppm (USD/t)* FOB ROTT</t>
  </si>
  <si>
    <t>Gas oil – ULSD 10 ppm (USD/t)**  FOB ROTT</t>
  </si>
  <si>
    <t>Naphtha (USD/t)   FOB MED</t>
  </si>
  <si>
    <t>*   In 2001 and in 2002 premium unleaded,</t>
  </si>
  <si>
    <t>**  In 2001 gasoil EN590, in 2002 gasoil ULSD 50ppm</t>
  </si>
  <si>
    <t>Domestic private and institutional investors</t>
  </si>
  <si>
    <t>Total shares issued</t>
  </si>
  <si>
    <t>Average outstanding shares (quarterly)</t>
  </si>
  <si>
    <t>CAPEX and investments</t>
  </si>
  <si>
    <t>Operating profit/(loss)*</t>
  </si>
  <si>
    <t>* Gas segment operating profit, in addition to subsidiary results, includes segment level consolidation effects and the one-off effect of asset sale.</t>
  </si>
  <si>
    <t>FY 2005 audited</t>
  </si>
  <si>
    <t>FY 2001 audited</t>
  </si>
  <si>
    <t>FY 2002 audited</t>
  </si>
  <si>
    <t>FY 2003 audited</t>
  </si>
  <si>
    <t>Write-off of/(reversal of write-off) inventories</t>
  </si>
  <si>
    <t>Increase/ (decrease) in provisions</t>
  </si>
  <si>
    <t>(4.0)*</t>
  </si>
  <si>
    <t>43.9*</t>
  </si>
  <si>
    <t>12/31/2002 audited</t>
  </si>
  <si>
    <t>12/31/2003 audited</t>
  </si>
  <si>
    <t>12/31/2004 audited</t>
  </si>
  <si>
    <t>Sold goods (without KKKSz changes, sold crude oil)+ gases from US</t>
  </si>
  <si>
    <t>Refinery loss*</t>
  </si>
  <si>
    <t>Crack spread – premium unleaded (USD/t) FOB ROTT</t>
  </si>
  <si>
    <t>Crack spread – gas oil (USD/t) FOB ROTT</t>
  </si>
  <si>
    <t>Crack spread – naphtha (USD/t) FOB MED</t>
  </si>
  <si>
    <t xml:space="preserve">Yearly average of quoted prices and crack spreads in 2005 are determined from daily data </t>
  </si>
  <si>
    <t>12/31/2005 audited</t>
  </si>
  <si>
    <t>o/w Retail product sales</t>
  </si>
  <si>
    <t xml:space="preserve">       Direct sales to other end-users</t>
  </si>
  <si>
    <t>Own consumption*</t>
  </si>
  <si>
    <t>* No breakdown available for refinery loss and own consumption for 2003-2004.</t>
  </si>
  <si>
    <t>** with Slovnaft from 1 April 2003</t>
  </si>
  <si>
    <t>Q4 2006</t>
  </si>
  <si>
    <t>FY 2006</t>
  </si>
  <si>
    <t>Unrealised foreign exchange difference on cash and cash equivalents</t>
  </si>
  <si>
    <t>Q1 2007</t>
  </si>
  <si>
    <t>12/31/2006 audited</t>
  </si>
  <si>
    <t>Q2 2007</t>
  </si>
  <si>
    <t>Bank Austria Creditanstalt AG</t>
  </si>
  <si>
    <t>Q3 2007</t>
  </si>
  <si>
    <t xml:space="preserve">   International</t>
  </si>
  <si>
    <t>Q4 2007</t>
  </si>
  <si>
    <t>FY 2007</t>
  </si>
  <si>
    <t>Interest income</t>
  </si>
  <si>
    <t>Net foreign exchange (gain) / loss excluding foreign exchange difference on receivables and payables</t>
  </si>
  <si>
    <t>Other financial (gain) loss, net</t>
  </si>
  <si>
    <t>Share of net profit of associate</t>
  </si>
  <si>
    <t>Net cash from capital increase, decrease</t>
  </si>
  <si>
    <t>n.a.</t>
  </si>
  <si>
    <t>OTP Bank Plc.</t>
  </si>
  <si>
    <t>Q1 2008</t>
  </si>
  <si>
    <t>Q2 2008</t>
  </si>
  <si>
    <t>Q3 2008</t>
  </si>
  <si>
    <t>Q4 2008</t>
  </si>
  <si>
    <t>FY 2008</t>
  </si>
  <si>
    <t xml:space="preserve">-   </t>
  </si>
  <si>
    <t>12/31/2008 unaudited</t>
  </si>
  <si>
    <t>-</t>
  </si>
  <si>
    <t>12/31/2007 audited</t>
  </si>
  <si>
    <t>Exchange rate (USD/HUF)</t>
  </si>
  <si>
    <t>FY 2006 audited</t>
  </si>
  <si>
    <t>FY 2007 audited</t>
  </si>
  <si>
    <t>Exchange rate, closing (USD/HUF)</t>
  </si>
  <si>
    <t>Diesel</t>
  </si>
  <si>
    <t>Heating oil</t>
  </si>
  <si>
    <t>Kerosene</t>
  </si>
  <si>
    <t>Bitumen</t>
  </si>
  <si>
    <t>Heating oils</t>
  </si>
  <si>
    <t xml:space="preserve">Kerosene </t>
  </si>
  <si>
    <t xml:space="preserve">- </t>
  </si>
  <si>
    <t>HUF/EUR average</t>
  </si>
  <si>
    <t>SKK/USD average</t>
  </si>
  <si>
    <r>
      <t>CAPEX and investments</t>
    </r>
    <r>
      <rPr>
        <vertAlign val="superscript"/>
        <sz val="10"/>
        <rFont val="Arial"/>
        <family val="2"/>
      </rPr>
      <t>1</t>
    </r>
  </si>
  <si>
    <r>
      <t>1</t>
    </r>
    <r>
      <rPr>
        <sz val="10"/>
        <rFont val="Arial"/>
        <family val="2"/>
      </rPr>
      <t xml:space="preserve"> Consolidated CAPEX figures exclude capitalised finance costs, but include financial investments.</t>
    </r>
  </si>
  <si>
    <r>
      <t>Natural gas production (million m</t>
    </r>
    <r>
      <rPr>
        <b/>
        <vertAlign val="superscript"/>
        <sz val="10"/>
        <rFont val="Arial"/>
        <family val="2"/>
      </rPr>
      <t>3</t>
    </r>
    <r>
      <rPr>
        <b/>
        <sz val="10"/>
        <rFont val="Arial"/>
        <family val="2"/>
      </rPr>
      <t>, net dry) **</t>
    </r>
  </si>
  <si>
    <t>*(Group external sales)   (with LPG+gas products)</t>
  </si>
  <si>
    <t>* (Group external sales)</t>
  </si>
  <si>
    <r>
      <t xml:space="preserve">       Minority interests </t>
    </r>
    <r>
      <rPr>
        <vertAlign val="superscript"/>
        <sz val="10"/>
        <rFont val="Arial"/>
        <family val="2"/>
      </rPr>
      <t xml:space="preserve"> </t>
    </r>
  </si>
  <si>
    <r>
      <t>Diluted earnings per share (HUF)</t>
    </r>
    <r>
      <rPr>
        <vertAlign val="superscript"/>
        <sz val="10"/>
        <rFont val="Arial"/>
        <family val="2"/>
      </rPr>
      <t xml:space="preserve"> 2</t>
    </r>
  </si>
  <si>
    <r>
      <t>Adjustments to reconcile operating profit to net cash provided by operating</t>
    </r>
    <r>
      <rPr>
        <sz val="10"/>
        <rFont val="Arial"/>
        <family val="2"/>
      </rPr>
      <t xml:space="preserve"> activities</t>
    </r>
  </si>
  <si>
    <r>
      <t>Intersegment transfers</t>
    </r>
    <r>
      <rPr>
        <vertAlign val="superscript"/>
        <sz val="10"/>
        <color indexed="8"/>
        <rFont val="Arial"/>
        <family val="2"/>
      </rPr>
      <t>2</t>
    </r>
  </si>
  <si>
    <r>
      <t>1</t>
    </r>
    <r>
      <rPr>
        <sz val="10"/>
        <rFont val="Arial"/>
        <family val="2"/>
      </rPr>
      <t xml:space="preserve"> Net external sales revenues and operating profit includes the profit arising both from sales to third parties and transfers to the other business segments. Exploration and Production transfers domestically produced crude oil, condensates and LPG to Refining and Marketing and natural gas to the Natural Gas segment. Refining and Marketing transfers chemical feedstock, propylene and isobutane to Petrochemicals and Petrochemicals transfers various by-products to Refining and Marketing. The internal transfer prices used are based on prevailing market prices. The gas transfer price equals the average import price. Divisional figures contain the results of the fully consolidated subsidiaries engaged in the respective divisions. </t>
    </r>
  </si>
  <si>
    <r>
      <t>2</t>
    </r>
    <r>
      <rPr>
        <sz val="10"/>
        <rFont val="Arial"/>
        <family val="2"/>
      </rPr>
      <t xml:space="preserve"> This line shows the effect on operating profit of the change in the amount of unrealised profit deferred in respect of transfers between segments. Unrealised profits arise where the item transferred is held in inventory by the receiving segment and a third party sale takes place only in a subsequent quarter. For segmental reporting purposes the transferor segment records a profit immediately at the point of transfer. However, at the company level profit is only reported when the related third party sale has taken place. In previous years this unrealised profit effect was not shown separately, but was included in the reported segmental result of the receiving segment. Unrealised profits arise principally in respect of transfers from Exploration &amp; Production to Natural Gas and from Refining &amp; Marketing to Petrochemicals. </t>
    </r>
  </si>
  <si>
    <t>Excess of carrying value of TVK minority interest acquired over the consideration</t>
  </si>
  <si>
    <r>
      <t>EBITDA EXCLUDING SPECIAL ITEMS</t>
    </r>
    <r>
      <rPr>
        <b/>
        <vertAlign val="superscript"/>
        <sz val="10"/>
        <color indexed="9"/>
        <rFont val="Arial"/>
        <family val="2"/>
      </rPr>
      <t>1</t>
    </r>
  </si>
  <si>
    <r>
      <t>OPERATING PROFIT EXCLUDING SPECIAL ITEMS</t>
    </r>
    <r>
      <rPr>
        <b/>
        <vertAlign val="superscript"/>
        <sz val="10"/>
        <color indexed="9"/>
        <rFont val="Arial"/>
        <family val="2"/>
      </rPr>
      <t>1</t>
    </r>
  </si>
  <si>
    <t>Non identified shares</t>
  </si>
  <si>
    <t xml:space="preserve"> - </t>
  </si>
  <si>
    <t>Bayerische Hypo- und Vereinsbank AG</t>
  </si>
  <si>
    <t>Societe Generale</t>
  </si>
  <si>
    <t>Q1 2009</t>
  </si>
  <si>
    <t>Q2 2009</t>
  </si>
  <si>
    <t>Q3 2009</t>
  </si>
  <si>
    <t>Q4 2009</t>
  </si>
  <si>
    <t>FY 2009</t>
  </si>
  <si>
    <t>12/31/2009 unaudited</t>
  </si>
  <si>
    <t>Net (gain) / loss on sale of non-current assets</t>
  </si>
  <si>
    <t>Proceeds from disposals of non-current assets</t>
  </si>
  <si>
    <t>Gain on the fair valuation of the previous investment in INA</t>
  </si>
  <si>
    <t xml:space="preserve"> Assets classified as held for sale</t>
  </si>
  <si>
    <t xml:space="preserve"> Liabilities directly associated with assets classified as held for sale</t>
  </si>
  <si>
    <t>Content</t>
  </si>
  <si>
    <t>MOL Group IFRS results (in HUF bn) - excl. INA</t>
  </si>
  <si>
    <t>MOL Group IFRS results (in USD mn) - excl. INA</t>
  </si>
  <si>
    <t>Exploration &amp; Production segment IFRS results (in HUF bn) - excl. INA</t>
  </si>
  <si>
    <t>MOL Group - excl. INA</t>
  </si>
  <si>
    <t>Exploration &amp; Production - operational data</t>
  </si>
  <si>
    <t>Exploration &amp; Production - operational data - excl. INA</t>
  </si>
  <si>
    <t>Refining &amp; Marketing segment IFRS results (in HUF bn) - excl. INA</t>
  </si>
  <si>
    <t>Refining &amp; Marketing - operational data</t>
  </si>
  <si>
    <t>Refining &amp; Marketing - operational data - excl. INA</t>
  </si>
  <si>
    <t>Petrochemical segment - operational data</t>
  </si>
  <si>
    <t>Gas segment - operational data</t>
  </si>
  <si>
    <t>Shareholder structure</t>
  </si>
  <si>
    <t>External parameters</t>
  </si>
  <si>
    <t>CAPITAL EXPENDITURES (HUF bn)</t>
  </si>
  <si>
    <t>CAPITAL EXPENDITURES (HUF bn) - excl. INA</t>
  </si>
  <si>
    <t>KEY IFRS FINANCIAL DATA BY BUSINESS SEGMENT (in HUF million) - excl. INA</t>
  </si>
  <si>
    <t>KEY IFRS FINANCIAL DATA BY BUSINESS SEGMENT (in USD million) - excl. INA</t>
  </si>
  <si>
    <t>OPERATING PROFIT &amp; EBITDA EXCLUDING SPECIAL ITEMS (in HUF million)</t>
  </si>
  <si>
    <t>OPERATING PROFIT &amp; EBITDA EXCLUDING SPECIAL ITEMS (in HUF million) - excl. INA</t>
  </si>
  <si>
    <t>OPERATING PROFIT &amp; EBITDA EXCLUDING SPECIAL ITEMS (in USD million)</t>
  </si>
  <si>
    <t>OPERATING PROFIT &amp; EBITDA EXCLUDING SPECIAL ITEMS (in USD million) - excl. INA</t>
  </si>
  <si>
    <t xml:space="preserve">MOL Group </t>
  </si>
  <si>
    <t xml:space="preserve">KEY IFRS FINANCIAL DATA BY BUSINESS SEGMENT (in HUF million) </t>
  </si>
  <si>
    <t>* As of Q3 2009</t>
  </si>
  <si>
    <t>MOL Group financial results (IFRS) - excl INA (in HUF bn)</t>
  </si>
  <si>
    <t>HYDROCARBON PRODUCTION (gross figures before royalty) excl. INA</t>
  </si>
  <si>
    <t xml:space="preserve">Exploration &amp; Production segment IFRS results - excl. INA (in HUF bn) </t>
  </si>
  <si>
    <t>REFINERY PROCESSING - excl. INA (Kt )</t>
  </si>
  <si>
    <t>Refining &amp; Marketing segment IFRS results - excl. INA (in HUF bn)</t>
  </si>
  <si>
    <t>REFINERY PROCESSING - incl. INA* ( Kt)</t>
  </si>
  <si>
    <t>REFINERY PRODUCTION - incl. INA* ( Kt)</t>
  </si>
  <si>
    <t>CAPITAL EXPENDITURES - incl. INA*</t>
  </si>
  <si>
    <t>CAPITAL EXPENDITURES - excl. INA</t>
  </si>
  <si>
    <t xml:space="preserve">**Excluding separated condensate </t>
  </si>
  <si>
    <t>***Domestic production, excluding original cushion gas production from gas storage.</t>
  </si>
  <si>
    <t>Crude oil production (kt) **</t>
  </si>
  <si>
    <r>
      <t>Natural gas production (million m</t>
    </r>
    <r>
      <rPr>
        <b/>
        <vertAlign val="superscript"/>
        <sz val="10"/>
        <rFont val="Arial"/>
        <family val="2"/>
      </rPr>
      <t>3</t>
    </r>
    <r>
      <rPr>
        <b/>
        <sz val="10"/>
        <rFont val="Arial"/>
        <family val="2"/>
      </rPr>
      <t>, net dry) ***</t>
    </r>
  </si>
  <si>
    <t>PETROCHEMICAL PRODUCTION (Kt)</t>
  </si>
  <si>
    <t>PETROCHEMICAS SALES BY PRODUCT GROUP (Kt)</t>
  </si>
  <si>
    <t>PETROCHEMICAL SALES (external)  (Kt)</t>
  </si>
  <si>
    <t>TRANSMISSION FEES  (HUF/cm)</t>
  </si>
  <si>
    <t>TRANSMISSION VOLUMES mn cm</t>
  </si>
  <si>
    <t xml:space="preserve">Consolidated statements of cash flows for the MOL Group (IFRS) </t>
  </si>
  <si>
    <r>
      <t>NET SALES REVENUES</t>
    </r>
    <r>
      <rPr>
        <b/>
        <vertAlign val="superscript"/>
        <sz val="10"/>
        <color indexed="9"/>
        <rFont val="Arial"/>
        <family val="2"/>
      </rPr>
      <t xml:space="preserve">1- </t>
    </r>
    <r>
      <rPr>
        <b/>
        <sz val="10"/>
        <color indexed="9"/>
        <rFont val="Arial"/>
        <family val="2"/>
      </rPr>
      <t>excl. INA</t>
    </r>
  </si>
  <si>
    <t>NET EXTERNAL SALES REVENUES - excl. INA</t>
  </si>
  <si>
    <r>
      <t>OPERATING PROFIT</t>
    </r>
    <r>
      <rPr>
        <b/>
        <vertAlign val="superscript"/>
        <sz val="10"/>
        <color indexed="9"/>
        <rFont val="Arial"/>
        <family val="2"/>
      </rPr>
      <t xml:space="preserve">1 - </t>
    </r>
    <r>
      <rPr>
        <b/>
        <sz val="10"/>
        <color indexed="9"/>
        <rFont val="Arial"/>
        <family val="2"/>
      </rPr>
      <t>excl. INA</t>
    </r>
  </si>
  <si>
    <t>DEPRECIATION - excl. INA</t>
  </si>
  <si>
    <t>EBITDA - excl. INA</t>
  </si>
  <si>
    <t>TANGIBLE ASSETS - excl. INA</t>
  </si>
  <si>
    <r>
      <t>NET SALES REVENUES</t>
    </r>
    <r>
      <rPr>
        <b/>
        <vertAlign val="superscript"/>
        <sz val="10"/>
        <color indexed="9"/>
        <rFont val="Arial"/>
        <family val="2"/>
      </rPr>
      <t xml:space="preserve">1 </t>
    </r>
    <r>
      <rPr>
        <b/>
        <sz val="10"/>
        <color indexed="9"/>
        <rFont val="Arial"/>
        <family val="2"/>
      </rPr>
      <t>-excl. INA</t>
    </r>
  </si>
  <si>
    <r>
      <t>OPERATING PROFIT</t>
    </r>
    <r>
      <rPr>
        <b/>
        <vertAlign val="superscript"/>
        <sz val="10"/>
        <color indexed="8"/>
        <rFont val="Arial"/>
        <family val="2"/>
      </rPr>
      <t xml:space="preserve">1 </t>
    </r>
    <r>
      <rPr>
        <b/>
        <sz val="10"/>
        <color indexed="9"/>
        <rFont val="Arial"/>
        <family val="2"/>
      </rPr>
      <t>- excl. INA</t>
    </r>
  </si>
  <si>
    <t>REFINED PRODUCT RETAIL SALES - incl. INA*  (Kt)</t>
  </si>
  <si>
    <t>REFINERY PRODUCTION - excl. INA  (Kt)</t>
  </si>
  <si>
    <t>REFINED PRODUCT SALES*,**  - excl. INA (Kt )</t>
  </si>
  <si>
    <t>REFINED PRODUCT SALES* - excl. INA  (Kt)</t>
  </si>
  <si>
    <t>REFINED PRODUCT RETAIL SALES - excl. INA (Kt)</t>
  </si>
  <si>
    <t>** No breakdown available for refinery loss and own consumption for 2003-2004.</t>
  </si>
  <si>
    <t>Refinery loss**</t>
  </si>
  <si>
    <t>Own consumption**</t>
  </si>
  <si>
    <t>REFINED PRODUCT SALES** - incl. INA*  (Kt)</t>
  </si>
  <si>
    <t>** (Group external sales)</t>
  </si>
  <si>
    <t>**(Group external sales)   (with LPG+gas products)</t>
  </si>
  <si>
    <t>*** with Slovnaft from 1 April 2003</t>
  </si>
  <si>
    <t>REFINED PRODUCT SALES**,***  - incl. INA * (Kt )</t>
  </si>
  <si>
    <t xml:space="preserve">   Russia</t>
  </si>
  <si>
    <t xml:space="preserve">   Croatia</t>
  </si>
  <si>
    <t>Condensate (kt) (including LPG and other gas products)</t>
  </si>
  <si>
    <t>Continuing operations</t>
  </si>
  <si>
    <t>Profit for the period</t>
  </si>
  <si>
    <t>Profit for the period attributable to equity holders of the parent</t>
  </si>
  <si>
    <t>Domestic crude oil/Own produced crude oil</t>
  </si>
  <si>
    <t>Sold goods (without KKKSz changes, sold crude oil)+ gases from US/Purchased and sold products</t>
  </si>
  <si>
    <t>Croatia</t>
  </si>
  <si>
    <t>Total EBITDA Excluding Special Items – continuing operations</t>
  </si>
  <si>
    <t>Discontinued operations (INA’s gas trading business)</t>
  </si>
  <si>
    <t>Total EBITDA Excluding Special Items</t>
  </si>
  <si>
    <t>Total Operating Profit Excluding Special Items – continuing operations</t>
  </si>
  <si>
    <t>Total Operating Profit Excluding Special Items</t>
  </si>
  <si>
    <r>
      <t>Profit for the period from continuing operations</t>
    </r>
    <r>
      <rPr>
        <b/>
        <vertAlign val="superscript"/>
        <sz val="10"/>
        <rFont val="Arial"/>
        <family val="2"/>
      </rPr>
      <t>1</t>
    </r>
  </si>
  <si>
    <t>Profit /(Loss) for the period from discontinued operations</t>
  </si>
  <si>
    <t>Basic earnings per share for continuing operatations (HUF)</t>
  </si>
  <si>
    <r>
      <t>Diluted earnings per share for continuing operations (HUF)</t>
    </r>
    <r>
      <rPr>
        <vertAlign val="superscript"/>
        <sz val="10"/>
        <rFont val="Arial"/>
        <family val="2"/>
      </rPr>
      <t xml:space="preserve"> 2</t>
    </r>
  </si>
  <si>
    <t>TOTAL NET EXTERNAL SALES REVENUES - CONTINUING OPERATIONS</t>
  </si>
  <si>
    <t>TOTAL OPERATING PROFIT - CONTINUING OPERATIONS</t>
  </si>
  <si>
    <t>TOTAL OPERATING PROFIT</t>
  </si>
  <si>
    <t>TOTAL DEPRECIATION</t>
  </si>
  <si>
    <t>TOTAL DEPRECIATION - CONTINUING OPERATIONS</t>
  </si>
  <si>
    <t>TOTAL EBITDA - CONTINUING OPERATIONS</t>
  </si>
  <si>
    <t>TOTAL EBITDA</t>
  </si>
  <si>
    <t>TOTAL TANGIBLE ASSETS - CONTINUING OPERATIONS</t>
  </si>
  <si>
    <t>TOTAL TANGIBLE ASSETS</t>
  </si>
  <si>
    <t xml:space="preserve">Gas and Power </t>
  </si>
  <si>
    <t>Gas and Power</t>
  </si>
  <si>
    <t>Gas  and Power</t>
  </si>
  <si>
    <t>Gas and Power*</t>
  </si>
  <si>
    <t>Gas and Power *</t>
  </si>
  <si>
    <t>Discontinued operation (INA’s gas trading business)</t>
  </si>
  <si>
    <t>HUF/HRK closing rate</t>
  </si>
  <si>
    <t>HRK/USD closing rate</t>
  </si>
  <si>
    <t>Please note, that data above do not fully reflect the ownership structure in the Share Register. The registration is not mandatory. The shareholder may exercise its rights towards the company, if the shareholder is registered in the Share Register.</t>
  </si>
  <si>
    <t xml:space="preserve"> Property plant and equipment</t>
  </si>
  <si>
    <t xml:space="preserve"> Trade receivables net</t>
  </si>
  <si>
    <t xml:space="preserve"> Long-term debt net of current portion</t>
  </si>
  <si>
    <t>Surgutneftegas OJSC</t>
  </si>
  <si>
    <t xml:space="preserve">Crescent Petroleum </t>
  </si>
  <si>
    <t>Dana Gas PJSC</t>
  </si>
  <si>
    <t>Non-controlling interest contribution</t>
  </si>
  <si>
    <t>Q1 2010</t>
  </si>
  <si>
    <t>Intersegment transactions</t>
  </si>
  <si>
    <t>Intersegment transfers</t>
  </si>
  <si>
    <t>Q2 2010</t>
  </si>
  <si>
    <t>Intersegment</t>
  </si>
  <si>
    <t>Q3 2010</t>
  </si>
  <si>
    <t>Q4 2010</t>
  </si>
  <si>
    <t>DISCONTINUED OPERATIONS</t>
  </si>
  <si>
    <t>TOTAL OPERATIONS</t>
  </si>
  <si>
    <t>FY 2010</t>
  </si>
  <si>
    <t>FY 2009 restated</t>
  </si>
  <si>
    <t>Q3 2010 restated</t>
  </si>
  <si>
    <t>FY 2009 restated*</t>
  </si>
  <si>
    <t>Q3 2010 restated *</t>
  </si>
  <si>
    <t xml:space="preserve">FY 2010 </t>
  </si>
  <si>
    <t>FY 2009 restated *</t>
  </si>
  <si>
    <t>12/31/2009 unaudited restated *</t>
  </si>
  <si>
    <t>2009.12.31 restated *</t>
  </si>
  <si>
    <t>Q3 2010 restated*</t>
  </si>
  <si>
    <t>MOL Group financial results (IFRS) - excl INA (in USD mn)</t>
  </si>
  <si>
    <t>2009.12.31 restated*</t>
  </si>
  <si>
    <t>Oman Oil (Budapest) Limited</t>
  </si>
  <si>
    <t>CEZ MH B.V.</t>
  </si>
  <si>
    <t>Magnolia Finance Limited</t>
  </si>
  <si>
    <t>ING Bank N.V.</t>
  </si>
  <si>
    <t>MFB Invest Zrt</t>
  </si>
  <si>
    <t>MNV Zrt. (Hungarian State Holding Company)</t>
  </si>
  <si>
    <t>MOL Plc. (treasury shares)</t>
  </si>
  <si>
    <t>OMV AG</t>
  </si>
  <si>
    <t>Q4 2009 restated*</t>
  </si>
  <si>
    <t>* Based on the Gas Master Agreement signed by the Government of the Republic of Croatia and MOL on 30 January 2009 and amended on 16 December 2009, the Croatian Government should have taken over INA gas trading business before 1 December 2010. Since this has not happened and the ongoing negotiations do not yet indicate a revised timeline, this activity no longer meets the criteria for discontinued operations. Consequently, assets, liabilities, revenues and expenses are disclosed among continuing activities within the Exploration and Production segment. Comparative periods have been restated accordingly.</t>
  </si>
  <si>
    <t>As only comparatiove periods was restated in 2009 and 2010</t>
  </si>
  <si>
    <t>Q1-Q3 2010 restated *</t>
  </si>
  <si>
    <t>Q1 -Q3 2010 restated*</t>
  </si>
  <si>
    <t>** Until 31 March 2007 Investments in associated companies and Available for sale investments are reported as Investments. In addition certain short-term available-for-sale instruments were reported as marketable securities.</t>
  </si>
  <si>
    <t>*** Until 31 March 2007 Prepaid taxes are reported under Other current assets.</t>
  </si>
  <si>
    <t>**** Until 31 March 2007 Current taxes payable are reported under Trade and other payables.</t>
  </si>
  <si>
    <t xml:space="preserve"> Current taxes payable ****</t>
  </si>
  <si>
    <t xml:space="preserve"> Prepaid taxes ***</t>
  </si>
  <si>
    <t xml:space="preserve"> Investments in associated companies **</t>
  </si>
  <si>
    <t xml:space="preserve"> Investments **</t>
  </si>
  <si>
    <t xml:space="preserve"> Available-for-sale investments **</t>
  </si>
  <si>
    <t>Q1-Q3 2009 restated*</t>
  </si>
  <si>
    <t>Q1-Q3 2010 restated*</t>
  </si>
  <si>
    <t>Q1 2010 restated**</t>
  </si>
  <si>
    <t>Q4 2010 restated**</t>
  </si>
  <si>
    <t>FY 2010 restated**</t>
  </si>
  <si>
    <t>Q1 2011</t>
  </si>
  <si>
    <t>** rested numbers based on the structural change in MOL's reporting</t>
  </si>
  <si>
    <t xml:space="preserve">External refined product and petrochemical sales by country (kt) </t>
  </si>
  <si>
    <t xml:space="preserve">External refined product and petrochemical sales by product (kt) </t>
  </si>
  <si>
    <t>Total refined products</t>
  </si>
  <si>
    <t>o/w Retail segment sales</t>
  </si>
  <si>
    <t>Total petrochemicals products</t>
  </si>
  <si>
    <t>Refining &amp; Marketing profit/(loss) excl. spec. Items</t>
  </si>
  <si>
    <t>FX gain (-) / loss + on debtors and creditors</t>
  </si>
  <si>
    <r>
      <t>(1)</t>
    </r>
    <r>
      <rPr>
        <i/>
        <sz val="8"/>
        <rFont val="Arial-ItalicMT"/>
        <family val="0"/>
      </rPr>
      <t xml:space="preserve"> Profit from operations excludes the additional expense of the turnover of inventories of INA which were recognized at fair market value upon initial consolidation as opposed to the carrying amounts reflected in INA Group’s separate financial statements (HUF 0.2 bn in Q1 2010), the provision for redundancy recorded at INA in Q3 2010 and Q1 2011, respectively (HUF 4.6 bn, the majority of which has been paid in Q4 2010 and HUF 1.7 bn) and the crisis tax imposed by the Hungarian state on domestic energy sector recorded in Q3 and Q4 2010 and in Q1 2011, respectively (HUF 14.0 bn, HUF 8.3 bn and HUF 5.3 bn). </t>
    </r>
  </si>
  <si>
    <r>
      <t>(2)</t>
    </r>
    <r>
      <rPr>
        <i/>
        <sz val="8"/>
        <rFont val="Arial"/>
        <family val="2"/>
      </rPr>
      <t xml:space="preserve"> Estimated Current Cost of Supply based Refining and Marketing operating profit/(loss) excluding special items and FX gain or loss on debtors and creditors</t>
    </r>
  </si>
  <si>
    <t>3 Consolidated CAPEX figures exclude capitalised finance costs, but include financial investments.</t>
  </si>
  <si>
    <t>CAPEX and investments 3</t>
  </si>
  <si>
    <t>Petrochemicals profit/(loss) excl. spec. Items 1</t>
  </si>
  <si>
    <t>CCS-based R&amp;M operating profit/(loss) 1, 2</t>
  </si>
  <si>
    <t>Brent Ural spread (USD/bbl)</t>
  </si>
  <si>
    <t>Fuel oil 3.5 (USD/t) ***</t>
  </si>
  <si>
    <t>*** FOB Med parity</t>
  </si>
  <si>
    <t>Crack spread – fuel oil 3.5 (USD/t)</t>
  </si>
  <si>
    <t>HUF/HRK</t>
  </si>
  <si>
    <t>HRK/USD</t>
  </si>
  <si>
    <t>Gas Midstream</t>
  </si>
  <si>
    <t>Downstream</t>
  </si>
  <si>
    <t>Upstream</t>
  </si>
  <si>
    <r>
      <t>►</t>
    </r>
    <r>
      <rPr>
        <sz val="7"/>
        <color indexed="10"/>
        <rFont val="Times New Roman"/>
        <family val="1"/>
      </rPr>
      <t xml:space="preserve">      </t>
    </r>
    <r>
      <rPr>
        <i/>
        <sz val="10"/>
        <rFont val="Arial"/>
        <family val="2"/>
      </rPr>
      <t xml:space="preserve">Petrochemical segment ceased to report separately and is included in Downstream </t>
    </r>
  </si>
  <si>
    <r>
      <t>►</t>
    </r>
    <r>
      <rPr>
        <sz val="7"/>
        <color indexed="10"/>
        <rFont val="Times New Roman"/>
        <family val="1"/>
      </rPr>
      <t xml:space="preserve">      </t>
    </r>
    <r>
      <rPr>
        <i/>
        <sz val="10"/>
        <rFont val="Arial"/>
        <family val="2"/>
      </rPr>
      <t>Heating operations have been reclassified to Downstream from former Gas and Power</t>
    </r>
  </si>
  <si>
    <r>
      <t>►</t>
    </r>
    <r>
      <rPr>
        <sz val="7"/>
        <color indexed="10"/>
        <rFont val="Times New Roman"/>
        <family val="1"/>
      </rPr>
      <t xml:space="preserve">      </t>
    </r>
    <r>
      <rPr>
        <i/>
        <sz val="10"/>
        <rFont val="Arial"/>
        <family val="2"/>
      </rPr>
      <t>INA’s gas wholesale trading subsidiary has been reclassified to Gas Midstream from Upstream</t>
    </r>
  </si>
  <si>
    <t>As a result of this resegmentation, the Group has the following three reporting segments: Upstream, Downstream, Gas Midstream. Comparative periods have been restated accordingly.</t>
  </si>
  <si>
    <t>**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</si>
  <si>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MOL Group - incl. INA (as of H2 2009)</t>
  </si>
  <si>
    <t>OPERATING PROFIT EXCLUDING SPECIAL ITEMS</t>
  </si>
  <si>
    <t>EBITDA EXCLUDING SPECIAL ITEMS</t>
  </si>
  <si>
    <t>TANGIBLE ASSETS</t>
  </si>
  <si>
    <r>
      <t>NET SALES REVENUES</t>
    </r>
  </si>
  <si>
    <t>NET EXTERNAL SALES REVENUES</t>
  </si>
  <si>
    <t>OPERATING PROFIT</t>
  </si>
  <si>
    <t>DEPRECIATION</t>
  </si>
  <si>
    <r>
      <t>3</t>
    </r>
    <r>
      <rPr>
        <b/>
        <sz val="10"/>
        <color indexed="8"/>
        <rFont val="Arial"/>
        <family val="2"/>
      </rPr>
      <t xml:space="preserve"> Gas segment operating profit, in addition to subsidiary results, includes segment level consolidation effects and the one-off effects of asset sale. </t>
    </r>
  </si>
  <si>
    <t xml:space="preserve">     ow: Upstream</t>
  </si>
  <si>
    <t xml:space="preserve">     ow: Downstream</t>
  </si>
  <si>
    <t xml:space="preserve">     ow: Gas Midstream</t>
  </si>
  <si>
    <r>
      <t>OPERATING PROFIT</t>
    </r>
  </si>
  <si>
    <t>UniCredit Bank AG</t>
  </si>
  <si>
    <r>
      <t xml:space="preserve">Gas Midstream </t>
    </r>
    <r>
      <rPr>
        <vertAlign val="superscript"/>
        <sz val="10"/>
        <color indexed="8"/>
        <rFont val="Arial"/>
        <family val="2"/>
      </rPr>
      <t>3</t>
    </r>
  </si>
  <si>
    <t>EBITDA excl. spec. items</t>
  </si>
  <si>
    <t>Operating profit/(loss) reported excl. spec</t>
  </si>
  <si>
    <t xml:space="preserve">Downstream segment IFRS results - (in HUF bn) </t>
  </si>
  <si>
    <t>Olefin products sales within MOL Group</t>
  </si>
  <si>
    <t>MOL Group financial results (IFRS) (in HUF bn)</t>
  </si>
  <si>
    <t>MOL Group financial results (IFRS) - (in USD mn)</t>
  </si>
  <si>
    <t>Exploration &amp; Production segment IFRS results -(in HUF bn)</t>
  </si>
  <si>
    <t>2010.03.31 restated*****</t>
  </si>
  <si>
    <t>2010.12.31 restated*****</t>
  </si>
  <si>
    <t>*****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</si>
  <si>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</si>
  <si>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31-Dec-10 restated**</t>
  </si>
  <si>
    <t>31-Mar-10 restated**</t>
  </si>
  <si>
    <t xml:space="preserve">1 Net external sales revenues and operating profit includes the profit arising both from sales to third parties and transfers to the other business segments. Exploration and Production transfers domestically produced crude oil, condensates and LPG to Refining and Marketing and natural gas to the Natural Gas segment. Refining and Marketing transfers chemical feedstock, propylene and isobutane to Petrochemicals and Petrochemicals transfers various by-products to Refining and Marketing. The internal transfer prices used are based on prevailing market prices. The gas transfer price equals the average import price. Divisional figures contain the results of the fully consolidated subsidiaries engaged in the respective divisions. </t>
  </si>
  <si>
    <t>Q2 2010 restated**</t>
  </si>
  <si>
    <t>Q2 2011</t>
  </si>
  <si>
    <t>2010.06.30 restated*****</t>
  </si>
  <si>
    <t>30-Jun-10 restated**</t>
  </si>
  <si>
    <t>Impairment on inventories</t>
  </si>
  <si>
    <t xml:space="preserve">30-Jun-11 </t>
  </si>
  <si>
    <t>30-Jun-11</t>
  </si>
  <si>
    <t>Q3 2010 restated**</t>
  </si>
  <si>
    <t>Q3 2011</t>
  </si>
  <si>
    <t>2010.09.30 restated*****</t>
  </si>
  <si>
    <t>30-Sep-10 restated**</t>
  </si>
  <si>
    <t xml:space="preserve">30-Sep-11 </t>
  </si>
  <si>
    <t>30-Sep-11</t>
  </si>
  <si>
    <t>Hungarian State (MNV Zrt., Pension Reform and Debt Reduction Fund</t>
  </si>
  <si>
    <t>104 519 063</t>
  </si>
  <si>
    <t>87 335 888</t>
  </si>
  <si>
    <t>Diesel+Heating</t>
  </si>
  <si>
    <t>Q4 2011</t>
  </si>
  <si>
    <t>FY2011</t>
  </si>
  <si>
    <t>Q3 2011 restated***</t>
  </si>
  <si>
    <t>FY 2010 restated***</t>
  </si>
  <si>
    <t>FY 2011</t>
  </si>
  <si>
    <t xml:space="preserve">   Syria</t>
  </si>
  <si>
    <t xml:space="preserve">   o/w Croatian offshore</t>
  </si>
  <si>
    <t xml:space="preserve">   Other International</t>
  </si>
  <si>
    <t>Average realised crude oil and condensate price (USD/bbl)</t>
  </si>
  <si>
    <t>Average realised gas price (USD/boe)</t>
  </si>
  <si>
    <t>INA exlc. special items</t>
  </si>
  <si>
    <t>MOL Group - excl. INA, exlc. special items</t>
  </si>
  <si>
    <t>Q4 2010 restated***</t>
  </si>
  <si>
    <t>31-Dec-10 restated***</t>
  </si>
  <si>
    <t>*Excluding crude and condensate production from Szőreg-1 field converted into strategic gas storage from 2008</t>
  </si>
  <si>
    <t>Crude oil production  **</t>
  </si>
  <si>
    <t xml:space="preserve">Natural gas production </t>
  </si>
  <si>
    <t>***Including LPG and other gas products</t>
  </si>
  <si>
    <t>Average hydrocarbon prod. (mboe/d)</t>
  </si>
  <si>
    <t>Condensate ***</t>
  </si>
  <si>
    <t>Q3 restated***</t>
  </si>
  <si>
    <t>30-Sep-11 restated***</t>
  </si>
  <si>
    <t>*** The Group decided to present bank charges related to credit facilities as financial expense instead of operating expense. Starting from 1 January 2011, the Group has revised its operational segments to reflect changes in organizational responsibilities as  a consequence, Petrochemical segment ceased to report separately and is included in Downstream Heating operations have been reclassified to Downstream from former Gas and PowerINA’s gas wholesale trading subsidiary has been reclassified to Gas Midstream from Upstream. As a result of this resegmentation, the Group has the following three reporting segments: Upstream, Downstream, Gas Midstream. Comparative periods have been restated accordingly.</t>
  </si>
  <si>
    <t>2010.12.31 restated</t>
  </si>
  <si>
    <t>31-Dec-11</t>
  </si>
  <si>
    <t>Q1 2012</t>
  </si>
  <si>
    <t>Q4 2011 restated****</t>
  </si>
  <si>
    <t>FY 2011 restated****</t>
  </si>
  <si>
    <t>Q1 2011 restated****</t>
  </si>
  <si>
    <t>31-Mar-12</t>
  </si>
  <si>
    <t xml:space="preserve">Q1 2011 </t>
  </si>
  <si>
    <t xml:space="preserve">31-Mar-11 </t>
  </si>
  <si>
    <t xml:space="preserve">FY 2011 </t>
  </si>
  <si>
    <t xml:space="preserve">2011.03.31***** </t>
  </si>
  <si>
    <t xml:space="preserve">Q4 2011 </t>
  </si>
  <si>
    <t>Q2 2012</t>
  </si>
  <si>
    <t xml:space="preserve">2011.06.30***** </t>
  </si>
  <si>
    <t>Repayments and prepayments of long-term debt</t>
  </si>
  <si>
    <t xml:space="preserve">from which </t>
  </si>
  <si>
    <t xml:space="preserve"> - presented in Balance Sheet</t>
  </si>
  <si>
    <t xml:space="preserve"> - attributable to Disposal Group</t>
  </si>
  <si>
    <t>Q2 2011
restated</t>
  </si>
  <si>
    <t>30-Jun-11 
restated</t>
  </si>
  <si>
    <t>30-Jun-11
restated</t>
  </si>
  <si>
    <t>Q2 2011 restated</t>
  </si>
  <si>
    <t>Gas transmission IFRS results (non consolidated) - FGSZ</t>
  </si>
  <si>
    <t>HYDROCARBON PRODUCTION (mboe/d) (gross figures before royalty)*</t>
  </si>
  <si>
    <t>Q3 2012</t>
  </si>
  <si>
    <t>CCS-based R&amp;M EBITDA 2</t>
  </si>
  <si>
    <t>Q4 2012</t>
  </si>
  <si>
    <t>FY 2012</t>
  </si>
  <si>
    <t>Exchange loss on borrowings</t>
  </si>
  <si>
    <t>Other financial expenses</t>
  </si>
</sst>
</file>

<file path=xl/styles.xml><?xml version="1.0" encoding="utf-8"?>
<styleSheet xmlns="http://schemas.openxmlformats.org/spreadsheetml/2006/main">
  <numFmts count="5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Igen&quot;;&quot;Igen&quot;;&quot;Nem&quot;"/>
    <numFmt numFmtId="181" formatCode="&quot;Igaz&quot;;&quot;Igaz&quot;;&quot;Hamis&quot;"/>
    <numFmt numFmtId="182" formatCode="&quot;Be&quot;;&quot;Be&quot;;&quot;Ki&quot;"/>
    <numFmt numFmtId="183" formatCode="[$-40E]yyyy\.\ mmmm\ d\."/>
    <numFmt numFmtId="184" formatCode="yyyy/mm/dd;@"/>
    <numFmt numFmtId="185" formatCode="#,##0.0"/>
    <numFmt numFmtId="186" formatCode="0.0"/>
    <numFmt numFmtId="187" formatCode="0.000"/>
    <numFmt numFmtId="188" formatCode="0.0_);\(0.0\)"/>
    <numFmt numFmtId="189" formatCode="0_);\(0\)"/>
    <numFmt numFmtId="190" formatCode="#,##0.0_);\(#,##0.0\)"/>
    <numFmt numFmtId="191" formatCode="[$-409]dddd\,\ mmmm\ dd\,\ yyyy"/>
    <numFmt numFmtId="192" formatCode="m/d/yyyy;@"/>
    <numFmt numFmtId="193" formatCode="mmm/yyyy"/>
    <numFmt numFmtId="194" formatCode="#,##0.0\ _F_t;\-#,##0.0\ _F_t"/>
    <numFmt numFmtId="195" formatCode="#,##0\);\(#,##0\)"/>
    <numFmt numFmtId="196" formatCode="#,##0;\(#,##0\)"/>
    <numFmt numFmtId="197" formatCode="#\(##0\)"/>
    <numFmt numFmtId="198" formatCode="#,##0.0;\(#,##0.0\)"/>
    <numFmt numFmtId="199" formatCode="[$-409]d\-mmm\-yy;@"/>
    <numFmt numFmtId="200" formatCode="#,##0.00;\(#,##0.00\)"/>
    <numFmt numFmtId="201" formatCode="#,##0.000;\(#,##0.000\)"/>
    <numFmt numFmtId="202" formatCode="#,##0_);\(#,##0\)"/>
    <numFmt numFmtId="203" formatCode="General_)"/>
    <numFmt numFmtId="204" formatCode="#,##0_ ;\-#,##0\ "/>
    <numFmt numFmtId="205" formatCode="#,##0_);\(#,##0\);_(&quot;-&quot;_)"/>
    <numFmt numFmtId="206" formatCode="[$€-2]\ #\ ##,000_);[Red]\([$€-2]\ #\ ##,000\)"/>
    <numFmt numFmtId="207" formatCode="m/d;@"/>
  </numFmts>
  <fonts count="64">
    <font>
      <sz val="10"/>
      <name val="Arial"/>
      <family val="0"/>
    </font>
    <font>
      <sz val="8"/>
      <name val="Arial"/>
      <family val="2"/>
    </font>
    <font>
      <i/>
      <sz val="10"/>
      <name val="Arial"/>
      <family val="2"/>
    </font>
    <font>
      <b/>
      <sz val="10"/>
      <name val="Arial"/>
      <family val="2"/>
    </font>
    <font>
      <b/>
      <i/>
      <sz val="10"/>
      <name val="Arial"/>
      <family val="2"/>
    </font>
    <font>
      <u val="single"/>
      <sz val="10"/>
      <color indexed="12"/>
      <name val="Arial"/>
      <family val="2"/>
    </font>
    <font>
      <u val="single"/>
      <sz val="10"/>
      <color indexed="36"/>
      <name val="Arial"/>
      <family val="2"/>
    </font>
    <font>
      <b/>
      <sz val="10"/>
      <color indexed="8"/>
      <name val="Arial"/>
      <family val="2"/>
    </font>
    <font>
      <sz val="10"/>
      <color indexed="8"/>
      <name val="Arial"/>
      <family val="2"/>
    </font>
    <font>
      <b/>
      <sz val="10"/>
      <color indexed="9"/>
      <name val="Arial"/>
      <family val="2"/>
    </font>
    <font>
      <sz val="10"/>
      <color indexed="9"/>
      <name val="Arial"/>
      <family val="2"/>
    </font>
    <font>
      <vertAlign val="superscript"/>
      <sz val="10"/>
      <name val="Arial"/>
      <family val="2"/>
    </font>
    <font>
      <b/>
      <vertAlign val="superscript"/>
      <sz val="10"/>
      <name val="Arial"/>
      <family val="2"/>
    </font>
    <font>
      <sz val="10"/>
      <color indexed="10"/>
      <name val="Arial"/>
      <family val="2"/>
    </font>
    <font>
      <b/>
      <vertAlign val="superscript"/>
      <sz val="10"/>
      <color indexed="8"/>
      <name val="Arial"/>
      <family val="2"/>
    </font>
    <font>
      <vertAlign val="superscript"/>
      <sz val="10"/>
      <color indexed="8"/>
      <name val="Arial"/>
      <family val="2"/>
    </font>
    <font>
      <b/>
      <vertAlign val="superscript"/>
      <sz val="10"/>
      <color indexed="9"/>
      <name val="Arial"/>
      <family val="2"/>
    </font>
    <font>
      <b/>
      <sz val="12"/>
      <name val="Arial"/>
      <family val="2"/>
    </font>
    <font>
      <sz val="10"/>
      <color indexed="12"/>
      <name val="Arial"/>
      <family val="2"/>
    </font>
    <font>
      <b/>
      <sz val="12"/>
      <color indexed="10"/>
      <name val="Arial"/>
      <family val="2"/>
    </font>
    <font>
      <b/>
      <i/>
      <sz val="10"/>
      <color indexed="9"/>
      <name val="Arial"/>
      <family val="2"/>
    </font>
    <font>
      <b/>
      <i/>
      <sz val="12"/>
      <color indexed="10"/>
      <name val="Arial"/>
      <family val="2"/>
    </font>
    <font>
      <i/>
      <sz val="8"/>
      <name val="Arial-ItalicMT"/>
      <family val="0"/>
    </font>
    <font>
      <i/>
      <sz val="8"/>
      <name val="Arial"/>
      <family val="2"/>
    </font>
    <font>
      <sz val="7"/>
      <color indexed="10"/>
      <name val="Times New Roman"/>
      <family val="1"/>
    </font>
    <font>
      <i/>
      <sz val="10"/>
      <color indexed="10"/>
      <name val="Arial"/>
      <family val="2"/>
    </font>
    <font>
      <sz val="8"/>
      <name val="Tahoma"/>
      <family val="2"/>
    </font>
    <font>
      <b/>
      <sz val="8"/>
      <name val="Tahoma"/>
      <family val="2"/>
    </font>
    <font>
      <b/>
      <sz val="10"/>
      <color indexed="10"/>
      <name val="Arial"/>
      <family val="2"/>
    </font>
    <font>
      <b/>
      <sz val="8"/>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lightUp">
        <fgColor indexed="42"/>
        <bgColor indexed="9"/>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lightUp">
        <fgColor indexed="22"/>
        <bgColor indexed="22"/>
      </patternFill>
    </fill>
    <fill>
      <patternFill patternType="solid">
        <fgColor indexed="55"/>
        <bgColor indexed="64"/>
      </patternFill>
    </fill>
    <fill>
      <patternFill patternType="solid">
        <fgColor indexed="42"/>
        <bgColor indexed="64"/>
      </patternFill>
    </fill>
    <fill>
      <patternFill patternType="solid">
        <fgColor indexed="57"/>
        <bgColor indexed="64"/>
      </patternFill>
    </fill>
    <fill>
      <patternFill patternType="lightUp">
        <fgColor indexed="42"/>
        <bgColor indexed="50"/>
      </patternFill>
    </fill>
    <fill>
      <patternFill patternType="solid">
        <fgColor indexed="23"/>
        <bgColor indexed="64"/>
      </patternFill>
    </fill>
    <fill>
      <patternFill patternType="solid">
        <fgColor indexed="55"/>
        <bgColor indexed="64"/>
      </patternFill>
    </fill>
    <fill>
      <patternFill patternType="lightUp">
        <fgColor indexed="42"/>
        <bgColor indexed="23"/>
      </patternFill>
    </fill>
    <fill>
      <patternFill patternType="lightUp">
        <fgColor indexed="42"/>
        <bgColor indexed="22"/>
      </patternFill>
    </fill>
    <fill>
      <patternFill patternType="lightUp">
        <fgColor indexed="42"/>
        <bgColor indexed="55"/>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indexed="50"/>
      </left>
      <right style="dotted">
        <color indexed="50"/>
      </right>
      <top>
        <color indexed="63"/>
      </top>
      <bottom>
        <color indexed="63"/>
      </bottom>
    </border>
    <border>
      <left style="double"/>
      <right>
        <color indexed="63"/>
      </right>
      <top>
        <color indexed="63"/>
      </top>
      <bottom>
        <color indexed="63"/>
      </bottom>
    </border>
    <border>
      <left style="dotted">
        <color indexed="50"/>
      </left>
      <right>
        <color indexed="63"/>
      </right>
      <top>
        <color indexed="63"/>
      </top>
      <bottom>
        <color indexed="63"/>
      </bottom>
    </border>
    <border>
      <left>
        <color indexed="63"/>
      </left>
      <right>
        <color indexed="63"/>
      </right>
      <top>
        <color indexed="63"/>
      </top>
      <bottom style="medium">
        <color indexed="22"/>
      </bottom>
    </border>
  </borders>
  <cellStyleXfs count="64">
    <xf numFmtId="203"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0" borderId="6" applyNumberFormat="0" applyFill="0" applyAlignment="0" applyProtection="0"/>
    <xf numFmtId="0" fontId="0" fillId="22" borderId="7" applyNumberFormat="0" applyFont="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7" fillId="29" borderId="0" applyNumberFormat="0" applyBorder="0" applyAlignment="0" applyProtection="0"/>
    <xf numFmtId="0" fontId="58" fillId="30" borderId="8" applyNumberFormat="0" applyAlignment="0" applyProtection="0"/>
    <xf numFmtId="0" fontId="6" fillId="0" borderId="0" applyNumberFormat="0" applyFill="0" applyBorder="0" applyAlignment="0" applyProtection="0"/>
    <xf numFmtId="0" fontId="59" fillId="0" borderId="0" applyNumberFormat="0" applyFill="0" applyBorder="0" applyAlignment="0" applyProtection="0"/>
    <xf numFmtId="203" fontId="0" fillId="0" borderId="0">
      <alignment/>
      <protection/>
    </xf>
    <xf numFmtId="0" fontId="6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3" fillId="30" borderId="1" applyNumberFormat="0" applyAlignment="0" applyProtection="0"/>
    <xf numFmtId="9" fontId="0" fillId="0" borderId="0" applyFont="0" applyFill="0" applyBorder="0" applyAlignment="0" applyProtection="0"/>
  </cellStyleXfs>
  <cellXfs count="546">
    <xf numFmtId="0" fontId="0" fillId="0" borderId="0" xfId="0" applyNumberFormat="1" applyAlignment="1">
      <alignment/>
    </xf>
    <xf numFmtId="37" fontId="0" fillId="33" borderId="0" xfId="0" applyNumberFormat="1" applyFont="1" applyFill="1" applyBorder="1" applyAlignment="1">
      <alignment/>
    </xf>
    <xf numFmtId="37" fontId="3" fillId="33" borderId="0" xfId="0" applyNumberFormat="1" applyFont="1" applyFill="1" applyBorder="1" applyAlignment="1">
      <alignment/>
    </xf>
    <xf numFmtId="190" fontId="0" fillId="34" borderId="0" xfId="0" applyNumberFormat="1" applyFont="1" applyFill="1" applyBorder="1" applyAlignment="1">
      <alignment/>
    </xf>
    <xf numFmtId="190" fontId="2" fillId="34" borderId="0" xfId="0" applyNumberFormat="1" applyFont="1" applyFill="1" applyBorder="1" applyAlignment="1">
      <alignment wrapText="1"/>
    </xf>
    <xf numFmtId="190" fontId="9" fillId="35" borderId="0" xfId="0" applyNumberFormat="1" applyFont="1" applyFill="1" applyBorder="1" applyAlignment="1">
      <alignment wrapText="1"/>
    </xf>
    <xf numFmtId="190" fontId="9" fillId="35" borderId="0" xfId="0" applyNumberFormat="1" applyFont="1" applyFill="1" applyBorder="1" applyAlignment="1">
      <alignment horizontal="center" wrapText="1"/>
    </xf>
    <xf numFmtId="0" fontId="9" fillId="35" borderId="0" xfId="0" applyNumberFormat="1" applyFont="1" applyFill="1" applyBorder="1" applyAlignment="1">
      <alignment horizontal="center" wrapText="1"/>
    </xf>
    <xf numFmtId="190" fontId="0" fillId="35" borderId="0" xfId="0" applyNumberFormat="1" applyFont="1" applyFill="1" applyBorder="1" applyAlignment="1">
      <alignment wrapText="1"/>
    </xf>
    <xf numFmtId="190" fontId="0" fillId="35" borderId="0" xfId="0" applyNumberFormat="1" applyFont="1" applyFill="1" applyBorder="1" applyAlignment="1">
      <alignment/>
    </xf>
    <xf numFmtId="190" fontId="3" fillId="35" borderId="0" xfId="0" applyNumberFormat="1" applyFont="1" applyFill="1" applyBorder="1" applyAlignment="1">
      <alignment wrapText="1"/>
    </xf>
    <xf numFmtId="190" fontId="3" fillId="35" borderId="0" xfId="0" applyNumberFormat="1" applyFont="1" applyFill="1" applyBorder="1" applyAlignment="1">
      <alignment/>
    </xf>
    <xf numFmtId="190" fontId="9" fillId="35" borderId="10" xfId="0" applyNumberFormat="1" applyFont="1" applyFill="1" applyBorder="1" applyAlignment="1">
      <alignment horizontal="center" wrapText="1"/>
    </xf>
    <xf numFmtId="190" fontId="0" fillId="35" borderId="10" xfId="0" applyNumberFormat="1" applyFont="1" applyFill="1" applyBorder="1" applyAlignment="1">
      <alignment/>
    </xf>
    <xf numFmtId="190" fontId="3" fillId="35" borderId="10" xfId="0" applyNumberFormat="1" applyFont="1" applyFill="1" applyBorder="1" applyAlignment="1">
      <alignment/>
    </xf>
    <xf numFmtId="37" fontId="0" fillId="34" borderId="0" xfId="0" applyNumberFormat="1" applyFont="1" applyFill="1" applyBorder="1" applyAlignment="1">
      <alignment/>
    </xf>
    <xf numFmtId="37" fontId="3" fillId="34" borderId="0" xfId="0" applyNumberFormat="1" applyFont="1" applyFill="1" applyBorder="1" applyAlignment="1">
      <alignment/>
    </xf>
    <xf numFmtId="37" fontId="2" fillId="34" borderId="0" xfId="0" applyNumberFormat="1" applyFont="1" applyFill="1" applyBorder="1" applyAlignment="1">
      <alignment wrapText="1"/>
    </xf>
    <xf numFmtId="190" fontId="3" fillId="34" borderId="0" xfId="0" applyNumberFormat="1" applyFont="1" applyFill="1" applyBorder="1" applyAlignment="1">
      <alignment horizontal="center" wrapText="1"/>
    </xf>
    <xf numFmtId="0" fontId="3" fillId="34" borderId="0" xfId="0" applyNumberFormat="1" applyFont="1" applyFill="1" applyBorder="1" applyAlignment="1">
      <alignment horizontal="center" wrapText="1"/>
    </xf>
    <xf numFmtId="194" fontId="0" fillId="34" borderId="0" xfId="0" applyNumberFormat="1" applyFont="1" applyFill="1" applyBorder="1" applyAlignment="1">
      <alignment/>
    </xf>
    <xf numFmtId="37" fontId="3" fillId="35" borderId="0" xfId="0" applyNumberFormat="1" applyFont="1" applyFill="1" applyBorder="1" applyAlignment="1">
      <alignment wrapText="1"/>
    </xf>
    <xf numFmtId="37" fontId="0" fillId="35" borderId="0" xfId="0" applyNumberFormat="1" applyFont="1" applyFill="1" applyBorder="1" applyAlignment="1">
      <alignment wrapText="1"/>
    </xf>
    <xf numFmtId="0" fontId="0" fillId="34" borderId="0" xfId="0" applyNumberFormat="1" applyFont="1" applyFill="1" applyBorder="1" applyAlignment="1">
      <alignment/>
    </xf>
    <xf numFmtId="0" fontId="3" fillId="34" borderId="0" xfId="0" applyNumberFormat="1" applyFont="1" applyFill="1" applyBorder="1" applyAlignment="1">
      <alignment/>
    </xf>
    <xf numFmtId="0" fontId="4" fillId="34" borderId="0" xfId="0" applyNumberFormat="1" applyFont="1" applyFill="1" applyBorder="1" applyAlignment="1">
      <alignment/>
    </xf>
    <xf numFmtId="0" fontId="0" fillId="34" borderId="0" xfId="0" applyNumberFormat="1" applyFont="1" applyFill="1" applyBorder="1" applyAlignment="1">
      <alignment wrapText="1"/>
    </xf>
    <xf numFmtId="0" fontId="2" fillId="34" borderId="0" xfId="0" applyNumberFormat="1" applyFont="1" applyFill="1" applyBorder="1" applyAlignment="1">
      <alignment/>
    </xf>
    <xf numFmtId="0" fontId="11" fillId="34" borderId="0" xfId="0" applyNumberFormat="1" applyFont="1" applyFill="1" applyBorder="1" applyAlignment="1">
      <alignment horizontal="justify"/>
    </xf>
    <xf numFmtId="0" fontId="3" fillId="35" borderId="0" xfId="0" applyNumberFormat="1" applyFont="1" applyFill="1" applyBorder="1" applyAlignment="1">
      <alignment wrapText="1"/>
    </xf>
    <xf numFmtId="0" fontId="9" fillId="35" borderId="0" xfId="0" applyNumberFormat="1" applyFont="1" applyFill="1" applyBorder="1" applyAlignment="1">
      <alignment wrapText="1"/>
    </xf>
    <xf numFmtId="0" fontId="0" fillId="35" borderId="0" xfId="0" applyNumberFormat="1" applyFont="1" applyFill="1" applyBorder="1" applyAlignment="1">
      <alignment wrapText="1"/>
    </xf>
    <xf numFmtId="0" fontId="3" fillId="34" borderId="0" xfId="0" applyNumberFormat="1" applyFont="1" applyFill="1" applyBorder="1" applyAlignment="1">
      <alignment horizontal="justify" wrapText="1"/>
    </xf>
    <xf numFmtId="0" fontId="0" fillId="34" borderId="0" xfId="0" applyNumberFormat="1" applyFont="1" applyFill="1" applyBorder="1" applyAlignment="1">
      <alignment horizontal="justify" wrapText="1"/>
    </xf>
    <xf numFmtId="3" fontId="0" fillId="34" borderId="0" xfId="0" applyNumberFormat="1" applyFont="1" applyFill="1" applyBorder="1" applyAlignment="1">
      <alignment/>
    </xf>
    <xf numFmtId="0" fontId="0" fillId="34" borderId="0" xfId="0" applyNumberFormat="1" applyFont="1" applyFill="1" applyBorder="1" applyAlignment="1" quotePrefix="1">
      <alignment horizontal="left"/>
    </xf>
    <xf numFmtId="0" fontId="13" fillId="34" borderId="0" xfId="0" applyNumberFormat="1" applyFont="1" applyFill="1" applyBorder="1" applyAlignment="1">
      <alignment/>
    </xf>
    <xf numFmtId="0" fontId="9" fillId="34" borderId="0" xfId="0" applyNumberFormat="1" applyFont="1" applyFill="1" applyBorder="1" applyAlignment="1">
      <alignment horizontal="center" wrapText="1"/>
    </xf>
    <xf numFmtId="190" fontId="9" fillId="34" borderId="0" xfId="0" applyNumberFormat="1" applyFont="1" applyFill="1" applyBorder="1" applyAlignment="1">
      <alignment horizontal="center" wrapText="1"/>
    </xf>
    <xf numFmtId="0" fontId="3" fillId="35" borderId="0" xfId="0" applyNumberFormat="1" applyFont="1" applyFill="1" applyBorder="1" applyAlignment="1">
      <alignment horizontal="justify" wrapText="1"/>
    </xf>
    <xf numFmtId="0" fontId="0" fillId="35" borderId="0" xfId="0" applyNumberFormat="1" applyFont="1" applyFill="1" applyBorder="1" applyAlignment="1">
      <alignment horizontal="justify" wrapText="1"/>
    </xf>
    <xf numFmtId="3" fontId="0" fillId="35" borderId="0" xfId="0" applyNumberFormat="1" applyFont="1" applyFill="1" applyBorder="1" applyAlignment="1">
      <alignment/>
    </xf>
    <xf numFmtId="37" fontId="3" fillId="35" borderId="0" xfId="0" applyNumberFormat="1" applyFont="1" applyFill="1" applyBorder="1" applyAlignment="1">
      <alignment/>
    </xf>
    <xf numFmtId="186" fontId="0" fillId="35" borderId="0" xfId="0" applyNumberFormat="1" applyFont="1" applyFill="1" applyBorder="1" applyAlignment="1">
      <alignment/>
    </xf>
    <xf numFmtId="0" fontId="3" fillId="35" borderId="0" xfId="0" applyNumberFormat="1" applyFont="1" applyFill="1" applyBorder="1" applyAlignment="1">
      <alignment/>
    </xf>
    <xf numFmtId="0" fontId="9" fillId="34" borderId="0" xfId="0" applyNumberFormat="1" applyFont="1" applyFill="1" applyBorder="1" applyAlignment="1">
      <alignment wrapText="1"/>
    </xf>
    <xf numFmtId="0" fontId="3" fillId="35" borderId="0" xfId="0" applyNumberFormat="1" applyFont="1" applyFill="1" applyBorder="1" applyAlignment="1">
      <alignment horizontal="left" wrapText="1"/>
    </xf>
    <xf numFmtId="0" fontId="0" fillId="35" borderId="0" xfId="0" applyNumberFormat="1" applyFont="1" applyFill="1" applyBorder="1" applyAlignment="1">
      <alignment horizontal="left" wrapText="1"/>
    </xf>
    <xf numFmtId="190" fontId="0" fillId="35" borderId="0" xfId="0" applyNumberFormat="1" applyFont="1" applyFill="1" applyBorder="1" applyAlignment="1">
      <alignment horizontal="right"/>
    </xf>
    <xf numFmtId="190" fontId="3" fillId="35" borderId="0" xfId="0" applyNumberFormat="1" applyFont="1" applyFill="1" applyBorder="1" applyAlignment="1">
      <alignment horizontal="right"/>
    </xf>
    <xf numFmtId="0" fontId="3" fillId="34" borderId="0" xfId="0" applyNumberFormat="1" applyFont="1" applyFill="1" applyBorder="1" applyAlignment="1">
      <alignment horizontal="justify" vertical="top" wrapText="1"/>
    </xf>
    <xf numFmtId="0" fontId="3" fillId="34" borderId="0" xfId="0" applyNumberFormat="1" applyFont="1" applyFill="1" applyBorder="1" applyAlignment="1">
      <alignment horizontal="center" vertical="center" wrapText="1"/>
    </xf>
    <xf numFmtId="190" fontId="3" fillId="34" borderId="0" xfId="0" applyNumberFormat="1" applyFont="1" applyFill="1" applyBorder="1" applyAlignment="1">
      <alignment horizontal="center" vertical="center" wrapText="1"/>
    </xf>
    <xf numFmtId="0" fontId="9" fillId="35" borderId="0" xfId="0" applyNumberFormat="1" applyFont="1" applyFill="1" applyBorder="1" applyAlignment="1">
      <alignment/>
    </xf>
    <xf numFmtId="0" fontId="9" fillId="34" borderId="0" xfId="0" applyNumberFormat="1" applyFont="1" applyFill="1" applyBorder="1" applyAlignment="1">
      <alignment/>
    </xf>
    <xf numFmtId="37" fontId="0" fillId="35" borderId="0" xfId="0" applyNumberFormat="1" applyFont="1" applyFill="1" applyBorder="1" applyAlignment="1">
      <alignment/>
    </xf>
    <xf numFmtId="0" fontId="0" fillId="33" borderId="0" xfId="0" applyNumberFormat="1" applyFont="1" applyFill="1" applyBorder="1" applyAlignment="1">
      <alignment/>
    </xf>
    <xf numFmtId="0" fontId="9" fillId="35" borderId="0" xfId="0" applyNumberFormat="1" applyFont="1" applyFill="1" applyBorder="1" applyAlignment="1">
      <alignment horizontal="justify" wrapText="1"/>
    </xf>
    <xf numFmtId="0" fontId="9" fillId="35" borderId="0" xfId="0" applyNumberFormat="1" applyFont="1" applyFill="1" applyBorder="1" applyAlignment="1">
      <alignment horizontal="center" vertical="center" wrapText="1"/>
    </xf>
    <xf numFmtId="190" fontId="0" fillId="36" borderId="0" xfId="0" applyNumberFormat="1" applyFont="1" applyFill="1" applyBorder="1" applyAlignment="1">
      <alignment/>
    </xf>
    <xf numFmtId="190" fontId="3" fillId="36" borderId="0" xfId="0" applyNumberFormat="1" applyFont="1" applyFill="1" applyBorder="1" applyAlignment="1">
      <alignment/>
    </xf>
    <xf numFmtId="37" fontId="3" fillId="36" borderId="0" xfId="0" applyNumberFormat="1" applyFont="1" applyFill="1" applyBorder="1" applyAlignment="1">
      <alignment/>
    </xf>
    <xf numFmtId="186" fontId="0" fillId="36" borderId="0" xfId="0" applyNumberFormat="1" applyFont="1" applyFill="1" applyBorder="1" applyAlignment="1">
      <alignment/>
    </xf>
    <xf numFmtId="0" fontId="0" fillId="36" borderId="0" xfId="0" applyNumberFormat="1" applyFont="1" applyFill="1" applyBorder="1" applyAlignment="1">
      <alignment/>
    </xf>
    <xf numFmtId="190" fontId="3" fillId="37" borderId="0" xfId="0" applyNumberFormat="1" applyFont="1" applyFill="1" applyBorder="1" applyAlignment="1">
      <alignment/>
    </xf>
    <xf numFmtId="190" fontId="0" fillId="37" borderId="0" xfId="0" applyNumberFormat="1" applyFont="1" applyFill="1" applyBorder="1" applyAlignment="1">
      <alignment/>
    </xf>
    <xf numFmtId="186" fontId="3" fillId="36" borderId="0" xfId="0" applyNumberFormat="1" applyFont="1" applyFill="1" applyBorder="1" applyAlignment="1">
      <alignment/>
    </xf>
    <xf numFmtId="186" fontId="3" fillId="35" borderId="0" xfId="0" applyNumberFormat="1" applyFont="1" applyFill="1" applyBorder="1" applyAlignment="1">
      <alignment/>
    </xf>
    <xf numFmtId="37" fontId="0" fillId="36" borderId="0" xfId="0" applyNumberFormat="1" applyFont="1" applyFill="1" applyBorder="1" applyAlignment="1">
      <alignment/>
    </xf>
    <xf numFmtId="3" fontId="0" fillId="34" borderId="0" xfId="0" applyNumberFormat="1" applyFont="1" applyFill="1" applyBorder="1" applyAlignment="1">
      <alignment horizontal="justify" wrapText="1"/>
    </xf>
    <xf numFmtId="3" fontId="0" fillId="34" borderId="0" xfId="0" applyNumberFormat="1" applyFont="1" applyFill="1" applyBorder="1" applyAlignment="1">
      <alignment vertical="center"/>
    </xf>
    <xf numFmtId="3" fontId="9" fillId="35" borderId="0" xfId="0" applyNumberFormat="1" applyFont="1" applyFill="1" applyBorder="1" applyAlignment="1">
      <alignment horizontal="left" wrapText="1"/>
    </xf>
    <xf numFmtId="3" fontId="9" fillId="34" borderId="0" xfId="0" applyNumberFormat="1" applyFont="1" applyFill="1" applyBorder="1" applyAlignment="1">
      <alignment horizontal="left" wrapText="1"/>
    </xf>
    <xf numFmtId="3" fontId="0" fillId="36" borderId="0" xfId="0" applyNumberFormat="1" applyFont="1" applyFill="1" applyBorder="1" applyAlignment="1">
      <alignment/>
    </xf>
    <xf numFmtId="3" fontId="0" fillId="36" borderId="0" xfId="0" applyNumberFormat="1" applyFont="1" applyFill="1" applyBorder="1" applyAlignment="1">
      <alignment vertical="center"/>
    </xf>
    <xf numFmtId="3" fontId="3" fillId="36" borderId="0" xfId="0" applyNumberFormat="1" applyFont="1" applyFill="1" applyBorder="1" applyAlignment="1">
      <alignment/>
    </xf>
    <xf numFmtId="3" fontId="0" fillId="35" borderId="0" xfId="0" applyNumberFormat="1" applyFont="1" applyFill="1" applyBorder="1" applyAlignment="1">
      <alignment horizontal="justify" wrapText="1"/>
    </xf>
    <xf numFmtId="3" fontId="0" fillId="38" borderId="0" xfId="0" applyNumberFormat="1" applyFont="1" applyFill="1" applyBorder="1" applyAlignment="1">
      <alignment/>
    </xf>
    <xf numFmtId="3" fontId="0" fillId="38" borderId="0" xfId="0" applyNumberFormat="1" applyFont="1" applyFill="1" applyBorder="1" applyAlignment="1">
      <alignment vertical="center"/>
    </xf>
    <xf numFmtId="186" fontId="0" fillId="33" borderId="0" xfId="0" applyNumberFormat="1" applyFont="1" applyFill="1" applyBorder="1" applyAlignment="1">
      <alignment/>
    </xf>
    <xf numFmtId="186" fontId="3" fillId="33" borderId="0" xfId="0" applyNumberFormat="1" applyFont="1" applyFill="1" applyBorder="1" applyAlignment="1">
      <alignment/>
    </xf>
    <xf numFmtId="186" fontId="0" fillId="37" borderId="0" xfId="0" applyNumberFormat="1" applyFont="1" applyFill="1" applyBorder="1" applyAlignment="1">
      <alignment/>
    </xf>
    <xf numFmtId="186" fontId="3" fillId="37" borderId="0" xfId="0" applyNumberFormat="1" applyFont="1" applyFill="1" applyBorder="1" applyAlignment="1">
      <alignment/>
    </xf>
    <xf numFmtId="14" fontId="9" fillId="35" borderId="0" xfId="0" applyNumberFormat="1" applyFont="1" applyFill="1" applyBorder="1" applyAlignment="1">
      <alignment horizontal="center" vertical="center" wrapText="1"/>
    </xf>
    <xf numFmtId="14" fontId="9" fillId="35" borderId="0" xfId="0" applyNumberFormat="1" applyFont="1" applyFill="1" applyBorder="1" applyAlignment="1">
      <alignment wrapText="1"/>
    </xf>
    <xf numFmtId="14" fontId="0" fillId="34" borderId="0" xfId="0" applyNumberFormat="1" applyFont="1" applyFill="1" applyBorder="1" applyAlignment="1">
      <alignment/>
    </xf>
    <xf numFmtId="190" fontId="0" fillId="39" borderId="0" xfId="0" applyNumberFormat="1" applyFont="1" applyFill="1" applyBorder="1" applyAlignment="1">
      <alignment/>
    </xf>
    <xf numFmtId="190" fontId="3" fillId="39" borderId="0" xfId="0" applyNumberFormat="1" applyFont="1" applyFill="1" applyBorder="1" applyAlignment="1">
      <alignment/>
    </xf>
    <xf numFmtId="196" fontId="0" fillId="36" borderId="0" xfId="0" applyNumberFormat="1" applyFont="1" applyFill="1" applyBorder="1" applyAlignment="1">
      <alignment/>
    </xf>
    <xf numFmtId="196" fontId="9" fillId="35" borderId="0" xfId="0" applyNumberFormat="1" applyFont="1" applyFill="1" applyBorder="1" applyAlignment="1">
      <alignment wrapText="1"/>
    </xf>
    <xf numFmtId="196" fontId="9" fillId="35" borderId="0" xfId="0" applyNumberFormat="1" applyFont="1" applyFill="1" applyBorder="1" applyAlignment="1">
      <alignment horizontal="center" vertical="center" wrapText="1"/>
    </xf>
    <xf numFmtId="196" fontId="0" fillId="34" borderId="0" xfId="0" applyNumberFormat="1" applyFont="1" applyFill="1" applyBorder="1" applyAlignment="1">
      <alignment/>
    </xf>
    <xf numFmtId="196" fontId="0" fillId="35" borderId="0" xfId="0" applyNumberFormat="1" applyFont="1" applyFill="1" applyBorder="1" applyAlignment="1">
      <alignment wrapText="1"/>
    </xf>
    <xf numFmtId="196" fontId="0" fillId="35" borderId="0" xfId="0" applyNumberFormat="1" applyFont="1" applyFill="1" applyBorder="1" applyAlignment="1">
      <alignment/>
    </xf>
    <xf numFmtId="196" fontId="0" fillId="35" borderId="0" xfId="0" applyNumberFormat="1" applyFont="1" applyFill="1" applyBorder="1" applyAlignment="1">
      <alignment horizontal="justify" wrapText="1"/>
    </xf>
    <xf numFmtId="196" fontId="3" fillId="35" borderId="0" xfId="0" applyNumberFormat="1" applyFont="1" applyFill="1" applyBorder="1" applyAlignment="1">
      <alignment wrapText="1"/>
    </xf>
    <xf numFmtId="196" fontId="3" fillId="36" borderId="0" xfId="0" applyNumberFormat="1" applyFont="1" applyFill="1" applyBorder="1" applyAlignment="1">
      <alignment/>
    </xf>
    <xf numFmtId="196" fontId="3" fillId="35" borderId="0" xfId="0" applyNumberFormat="1" applyFont="1" applyFill="1" applyBorder="1" applyAlignment="1">
      <alignment/>
    </xf>
    <xf numFmtId="196" fontId="0" fillId="34" borderId="0" xfId="0" applyNumberFormat="1" applyFont="1" applyFill="1" applyBorder="1" applyAlignment="1">
      <alignment wrapText="1"/>
    </xf>
    <xf numFmtId="196" fontId="2" fillId="35" borderId="0" xfId="0" applyNumberFormat="1" applyFont="1" applyFill="1" applyBorder="1" applyAlignment="1">
      <alignment wrapText="1"/>
    </xf>
    <xf numFmtId="196" fontId="2" fillId="36" borderId="0" xfId="0" applyNumberFormat="1" applyFont="1" applyFill="1" applyBorder="1" applyAlignment="1">
      <alignment/>
    </xf>
    <xf numFmtId="196" fontId="2" fillId="35" borderId="0" xfId="0" applyNumberFormat="1" applyFont="1" applyFill="1" applyBorder="1" applyAlignment="1">
      <alignment/>
    </xf>
    <xf numFmtId="196" fontId="3" fillId="34" borderId="0" xfId="0" applyNumberFormat="1" applyFont="1" applyFill="1" applyBorder="1" applyAlignment="1">
      <alignment wrapText="1"/>
    </xf>
    <xf numFmtId="196" fontId="4" fillId="35" borderId="0" xfId="0" applyNumberFormat="1" applyFont="1" applyFill="1" applyBorder="1" applyAlignment="1">
      <alignment wrapText="1"/>
    </xf>
    <xf numFmtId="196" fontId="7" fillId="35" borderId="0" xfId="0" applyNumberFormat="1" applyFont="1" applyFill="1" applyBorder="1" applyAlignment="1">
      <alignment wrapText="1"/>
    </xf>
    <xf numFmtId="196" fontId="0" fillId="37" borderId="0" xfId="0" applyNumberFormat="1" applyFont="1" applyFill="1" applyBorder="1" applyAlignment="1">
      <alignment/>
    </xf>
    <xf numFmtId="196" fontId="0" fillId="33" borderId="0" xfId="0" applyNumberFormat="1" applyFont="1" applyFill="1" applyBorder="1" applyAlignment="1">
      <alignment/>
    </xf>
    <xf numFmtId="196" fontId="3" fillId="35" borderId="0" xfId="0" applyNumberFormat="1" applyFont="1" applyFill="1" applyBorder="1" applyAlignment="1">
      <alignment horizontal="left" wrapText="1" indent="1"/>
    </xf>
    <xf numFmtId="196" fontId="3" fillId="33" borderId="0" xfId="0" applyNumberFormat="1" applyFont="1" applyFill="1" applyBorder="1" applyAlignment="1">
      <alignment/>
    </xf>
    <xf numFmtId="196" fontId="2" fillId="35" borderId="0" xfId="0" applyNumberFormat="1" applyFont="1" applyFill="1" applyBorder="1" applyAlignment="1">
      <alignment vertical="top" wrapText="1"/>
    </xf>
    <xf numFmtId="196" fontId="0" fillId="35" borderId="0" xfId="0" applyNumberFormat="1" applyFont="1" applyFill="1" applyBorder="1" applyAlignment="1">
      <alignment horizontal="left" vertical="top" wrapText="1" indent="1"/>
    </xf>
    <xf numFmtId="196" fontId="0" fillId="35" borderId="0" xfId="0" applyNumberFormat="1" applyFont="1" applyFill="1" applyBorder="1" applyAlignment="1">
      <alignment horizontal="left" wrapText="1" indent="1"/>
    </xf>
    <xf numFmtId="196" fontId="3" fillId="35" borderId="0" xfId="0" applyNumberFormat="1" applyFont="1" applyFill="1" applyBorder="1" applyAlignment="1">
      <alignment horizontal="left" vertical="top" wrapText="1" indent="1"/>
    </xf>
    <xf numFmtId="196" fontId="0" fillId="34" borderId="0" xfId="0" applyNumberFormat="1" applyFont="1" applyFill="1" applyBorder="1" applyAlignment="1">
      <alignment horizontal="left" vertical="top" wrapText="1" indent="1"/>
    </xf>
    <xf numFmtId="196" fontId="3" fillId="34" borderId="0" xfId="0" applyNumberFormat="1" applyFont="1" applyFill="1" applyBorder="1" applyAlignment="1">
      <alignment horizontal="left" wrapText="1" indent="1"/>
    </xf>
    <xf numFmtId="196" fontId="0" fillId="34" borderId="0" xfId="0" applyNumberFormat="1" applyFont="1" applyFill="1" applyBorder="1" applyAlignment="1">
      <alignment horizontal="left" wrapText="1" indent="1"/>
    </xf>
    <xf numFmtId="196" fontId="3" fillId="34" borderId="0" xfId="0" applyNumberFormat="1" applyFont="1" applyFill="1" applyBorder="1" applyAlignment="1">
      <alignment/>
    </xf>
    <xf numFmtId="196" fontId="3" fillId="35" borderId="0" xfId="0" applyNumberFormat="1" applyFont="1" applyFill="1" applyBorder="1" applyAlignment="1">
      <alignment vertical="top" wrapText="1"/>
    </xf>
    <xf numFmtId="196" fontId="3" fillId="34" borderId="0" xfId="0" applyNumberFormat="1" applyFont="1" applyFill="1" applyBorder="1" applyAlignment="1">
      <alignment horizontal="left"/>
    </xf>
    <xf numFmtId="196" fontId="3" fillId="34" borderId="0" xfId="0" applyNumberFormat="1" applyFont="1" applyFill="1" applyBorder="1" applyAlignment="1">
      <alignment horizontal="center"/>
    </xf>
    <xf numFmtId="196" fontId="9" fillId="35" borderId="0" xfId="0" applyNumberFormat="1" applyFont="1" applyFill="1" applyBorder="1" applyAlignment="1">
      <alignment horizontal="center" wrapText="1"/>
    </xf>
    <xf numFmtId="196" fontId="9" fillId="34" borderId="0" xfId="0" applyNumberFormat="1" applyFont="1" applyFill="1" applyBorder="1" applyAlignment="1">
      <alignment wrapText="1"/>
    </xf>
    <xf numFmtId="196" fontId="9" fillId="34" borderId="0" xfId="0" applyNumberFormat="1" applyFont="1" applyFill="1" applyBorder="1" applyAlignment="1">
      <alignment horizontal="center" vertical="center" wrapText="1"/>
    </xf>
    <xf numFmtId="196" fontId="9" fillId="34" borderId="0" xfId="0" applyNumberFormat="1" applyFont="1" applyFill="1" applyBorder="1" applyAlignment="1">
      <alignment horizontal="center" wrapText="1"/>
    </xf>
    <xf numFmtId="196" fontId="8" fillId="35" borderId="0" xfId="0" applyNumberFormat="1" applyFont="1" applyFill="1" applyBorder="1" applyAlignment="1">
      <alignment wrapText="1"/>
    </xf>
    <xf numFmtId="196" fontId="7" fillId="34" borderId="0" xfId="0" applyNumberFormat="1" applyFont="1" applyFill="1" applyBorder="1" applyAlignment="1">
      <alignment wrapText="1"/>
    </xf>
    <xf numFmtId="196" fontId="3" fillId="34" borderId="0" xfId="0" applyNumberFormat="1" applyFont="1" applyFill="1" applyBorder="1" applyAlignment="1">
      <alignment horizontal="center" vertical="center" wrapText="1"/>
    </xf>
    <xf numFmtId="196" fontId="3" fillId="34" borderId="0" xfId="0" applyNumberFormat="1" applyFont="1" applyFill="1" applyBorder="1" applyAlignment="1">
      <alignment horizontal="center" wrapText="1"/>
    </xf>
    <xf numFmtId="196" fontId="7" fillId="34" borderId="0" xfId="0" applyNumberFormat="1" applyFont="1" applyFill="1" applyBorder="1" applyAlignment="1">
      <alignment/>
    </xf>
    <xf numFmtId="196" fontId="3" fillId="34" borderId="0" xfId="0" applyNumberFormat="1" applyFont="1" applyFill="1" applyBorder="1" applyAlignment="1">
      <alignment vertical="center" wrapText="1"/>
    </xf>
    <xf numFmtId="196" fontId="11" fillId="34" borderId="0" xfId="0" applyNumberFormat="1" applyFont="1" applyFill="1" applyBorder="1" applyAlignment="1">
      <alignment horizontal="justify"/>
    </xf>
    <xf numFmtId="196" fontId="8" fillId="34" borderId="0" xfId="0" applyNumberFormat="1" applyFont="1" applyFill="1" applyBorder="1" applyAlignment="1">
      <alignment wrapText="1"/>
    </xf>
    <xf numFmtId="198" fontId="9" fillId="35" borderId="0" xfId="0" applyNumberFormat="1" applyFont="1" applyFill="1" applyBorder="1" applyAlignment="1" quotePrefix="1">
      <alignment horizontal="left" wrapText="1"/>
    </xf>
    <xf numFmtId="198" fontId="9" fillId="35" borderId="0" xfId="0" applyNumberFormat="1" applyFont="1" applyFill="1" applyBorder="1" applyAlignment="1">
      <alignment horizontal="center" vertical="center" wrapText="1"/>
    </xf>
    <xf numFmtId="198" fontId="9" fillId="35" borderId="0" xfId="0" applyNumberFormat="1" applyFont="1" applyFill="1" applyBorder="1" applyAlignment="1">
      <alignment horizontal="center" wrapText="1"/>
    </xf>
    <xf numFmtId="198" fontId="0" fillId="34" borderId="0" xfId="0" applyNumberFormat="1" applyFont="1" applyFill="1" applyBorder="1" applyAlignment="1">
      <alignment/>
    </xf>
    <xf numFmtId="198" fontId="9" fillId="34" borderId="0" xfId="0" applyNumberFormat="1" applyFont="1" applyFill="1" applyBorder="1" applyAlignment="1" quotePrefix="1">
      <alignment horizontal="left" wrapText="1"/>
    </xf>
    <xf numFmtId="198" fontId="9" fillId="34" borderId="0" xfId="0" applyNumberFormat="1" applyFont="1" applyFill="1" applyBorder="1" applyAlignment="1">
      <alignment horizontal="center" vertical="center" wrapText="1"/>
    </xf>
    <xf numFmtId="198" fontId="9" fillId="34" borderId="0" xfId="0" applyNumberFormat="1" applyFont="1" applyFill="1" applyBorder="1" applyAlignment="1">
      <alignment horizontal="center" wrapText="1"/>
    </xf>
    <xf numFmtId="198" fontId="8" fillId="35" borderId="0" xfId="0" applyNumberFormat="1" applyFont="1" applyFill="1" applyBorder="1" applyAlignment="1">
      <alignment wrapText="1"/>
    </xf>
    <xf numFmtId="198" fontId="0" fillId="36" borderId="0" xfId="0" applyNumberFormat="1" applyFont="1" applyFill="1" applyBorder="1" applyAlignment="1">
      <alignment/>
    </xf>
    <xf numFmtId="198" fontId="0" fillId="35" borderId="0" xfId="0" applyNumberFormat="1" applyFont="1" applyFill="1" applyBorder="1" applyAlignment="1">
      <alignment/>
    </xf>
    <xf numFmtId="198" fontId="7" fillId="35" borderId="0" xfId="0" applyNumberFormat="1" applyFont="1" applyFill="1" applyBorder="1" applyAlignment="1">
      <alignment wrapText="1"/>
    </xf>
    <xf numFmtId="198" fontId="3" fillId="36" borderId="0" xfId="0" applyNumberFormat="1" applyFont="1" applyFill="1" applyBorder="1" applyAlignment="1">
      <alignment/>
    </xf>
    <xf numFmtId="198" fontId="3" fillId="35" borderId="0" xfId="0" applyNumberFormat="1" applyFont="1" applyFill="1" applyBorder="1" applyAlignment="1">
      <alignment/>
    </xf>
    <xf numFmtId="198" fontId="7" fillId="34" borderId="0" xfId="0" applyNumberFormat="1" applyFont="1" applyFill="1" applyBorder="1" applyAlignment="1">
      <alignment wrapText="1"/>
    </xf>
    <xf numFmtId="196" fontId="10" fillId="34" borderId="0" xfId="0" applyNumberFormat="1" applyFont="1" applyFill="1" applyBorder="1" applyAlignment="1">
      <alignment/>
    </xf>
    <xf numFmtId="196" fontId="9" fillId="34" borderId="0" xfId="0" applyNumberFormat="1" applyFont="1" applyFill="1" applyBorder="1" applyAlignment="1">
      <alignment vertical="center" wrapText="1"/>
    </xf>
    <xf numFmtId="198" fontId="3" fillId="34" borderId="0" xfId="0" applyNumberFormat="1" applyFont="1" applyFill="1" applyBorder="1" applyAlignment="1">
      <alignment/>
    </xf>
    <xf numFmtId="198" fontId="9" fillId="35" borderId="0" xfId="0" applyNumberFormat="1" applyFont="1" applyFill="1" applyBorder="1" applyAlignment="1">
      <alignment wrapText="1"/>
    </xf>
    <xf numFmtId="198" fontId="9" fillId="34" borderId="0" xfId="0" applyNumberFormat="1" applyFont="1" applyFill="1" applyBorder="1" applyAlignment="1">
      <alignment wrapText="1"/>
    </xf>
    <xf numFmtId="198" fontId="0" fillId="35" borderId="0" xfId="0" applyNumberFormat="1" applyFont="1" applyFill="1" applyBorder="1" applyAlignment="1">
      <alignment vertical="top" wrapText="1"/>
    </xf>
    <xf numFmtId="198" fontId="0" fillId="35" borderId="0" xfId="0" applyNumberFormat="1" applyFont="1" applyFill="1" applyBorder="1" applyAlignment="1" quotePrefix="1">
      <alignment horizontal="left" vertical="top" wrapText="1"/>
    </xf>
    <xf numFmtId="198" fontId="0" fillId="35" borderId="0" xfId="0" applyNumberFormat="1" applyFont="1" applyFill="1" applyBorder="1" applyAlignment="1">
      <alignment wrapText="1"/>
    </xf>
    <xf numFmtId="198" fontId="0" fillId="33" borderId="0" xfId="0" applyNumberFormat="1" applyFont="1" applyFill="1" applyBorder="1" applyAlignment="1">
      <alignment/>
    </xf>
    <xf numFmtId="198" fontId="10" fillId="34" borderId="0" xfId="0" applyNumberFormat="1" applyFont="1" applyFill="1" applyBorder="1" applyAlignment="1">
      <alignment/>
    </xf>
    <xf numFmtId="198" fontId="9" fillId="34" borderId="0" xfId="0" applyNumberFormat="1" applyFont="1" applyFill="1" applyBorder="1" applyAlignment="1">
      <alignment vertical="center" wrapText="1"/>
    </xf>
    <xf numFmtId="198" fontId="0" fillId="34" borderId="0" xfId="0" applyNumberFormat="1" applyFont="1" applyFill="1" applyBorder="1" applyAlignment="1">
      <alignment wrapText="1"/>
    </xf>
    <xf numFmtId="14" fontId="10" fillId="35" borderId="0" xfId="0" applyNumberFormat="1" applyFont="1" applyFill="1" applyBorder="1" applyAlignment="1">
      <alignment/>
    </xf>
    <xf numFmtId="14" fontId="9" fillId="35" borderId="0" xfId="0" applyNumberFormat="1" applyFont="1" applyFill="1" applyBorder="1" applyAlignment="1">
      <alignment vertical="center" wrapText="1"/>
    </xf>
    <xf numFmtId="196" fontId="0" fillId="39" borderId="0" xfId="0" applyNumberFormat="1" applyFont="1" applyFill="1" applyBorder="1" applyAlignment="1">
      <alignment/>
    </xf>
    <xf numFmtId="198" fontId="0" fillId="39" borderId="0" xfId="0" applyNumberFormat="1" applyFont="1" applyFill="1" applyBorder="1" applyAlignment="1">
      <alignment/>
    </xf>
    <xf numFmtId="198" fontId="0" fillId="36" borderId="0" xfId="0" applyNumberFormat="1" applyFont="1" applyFill="1" applyBorder="1" applyAlignment="1">
      <alignment horizontal="right"/>
    </xf>
    <xf numFmtId="198" fontId="0" fillId="39" borderId="0" xfId="0" applyNumberFormat="1" applyFont="1" applyFill="1" applyBorder="1" applyAlignment="1">
      <alignment horizontal="right"/>
    </xf>
    <xf numFmtId="198" fontId="0" fillId="40" borderId="0" xfId="0" applyNumberFormat="1" applyFont="1" applyFill="1" applyBorder="1" applyAlignment="1">
      <alignment/>
    </xf>
    <xf numFmtId="198" fontId="0" fillId="41" borderId="0" xfId="0" applyNumberFormat="1" applyFont="1" applyFill="1" applyBorder="1" applyAlignment="1">
      <alignment/>
    </xf>
    <xf numFmtId="199" fontId="9" fillId="35" borderId="0" xfId="0" applyNumberFormat="1" applyFont="1" applyFill="1" applyBorder="1" applyAlignment="1">
      <alignment horizontal="center" vertical="center" wrapText="1"/>
    </xf>
    <xf numFmtId="199" fontId="9" fillId="35" borderId="0" xfId="0" applyNumberFormat="1" applyFont="1" applyFill="1" applyBorder="1" applyAlignment="1">
      <alignment horizontal="center" wrapText="1"/>
    </xf>
    <xf numFmtId="196" fontId="0" fillId="36" borderId="0" xfId="0" applyNumberFormat="1" applyFont="1" applyFill="1" applyBorder="1" applyAlignment="1">
      <alignment horizontal="right"/>
    </xf>
    <xf numFmtId="196" fontId="0" fillId="35" borderId="0" xfId="0" applyNumberFormat="1" applyFont="1" applyFill="1" applyBorder="1" applyAlignment="1">
      <alignment horizontal="right"/>
    </xf>
    <xf numFmtId="196" fontId="0" fillId="33" borderId="0" xfId="0" applyNumberFormat="1" applyFont="1" applyFill="1" applyBorder="1" applyAlignment="1">
      <alignment horizontal="right"/>
    </xf>
    <xf numFmtId="0" fontId="0" fillId="34" borderId="0" xfId="0" applyNumberFormat="1" applyFill="1" applyAlignment="1">
      <alignment/>
    </xf>
    <xf numFmtId="0" fontId="9" fillId="42" borderId="0" xfId="0" applyNumberFormat="1" applyFont="1" applyFill="1" applyAlignment="1">
      <alignment horizontal="center"/>
    </xf>
    <xf numFmtId="0" fontId="5" fillId="43" borderId="0" xfId="43" applyFill="1" applyAlignment="1" applyProtection="1">
      <alignment/>
      <protection/>
    </xf>
    <xf numFmtId="190" fontId="0" fillId="44" borderId="0" xfId="0" applyNumberFormat="1" applyFont="1" applyFill="1" applyBorder="1" applyAlignment="1">
      <alignment/>
    </xf>
    <xf numFmtId="190" fontId="9" fillId="44" borderId="0" xfId="0" applyNumberFormat="1" applyFont="1" applyFill="1" applyBorder="1" applyAlignment="1">
      <alignment wrapText="1"/>
    </xf>
    <xf numFmtId="190" fontId="9" fillId="44" borderId="0" xfId="0" applyNumberFormat="1" applyFont="1" applyFill="1" applyBorder="1" applyAlignment="1">
      <alignment horizontal="center" wrapText="1"/>
    </xf>
    <xf numFmtId="190" fontId="9" fillId="44" borderId="10" xfId="0" applyNumberFormat="1" applyFont="1" applyFill="1" applyBorder="1" applyAlignment="1">
      <alignment horizontal="center" wrapText="1"/>
    </xf>
    <xf numFmtId="190" fontId="0" fillId="44" borderId="0" xfId="0" applyNumberFormat="1" applyFont="1" applyFill="1" applyBorder="1" applyAlignment="1">
      <alignment wrapText="1"/>
    </xf>
    <xf numFmtId="190" fontId="3" fillId="44" borderId="0" xfId="0" applyNumberFormat="1" applyFont="1" applyFill="1" applyBorder="1" applyAlignment="1">
      <alignment wrapText="1"/>
    </xf>
    <xf numFmtId="196" fontId="9" fillId="44" borderId="0" xfId="0" applyNumberFormat="1" applyFont="1" applyFill="1" applyBorder="1" applyAlignment="1">
      <alignment wrapText="1"/>
    </xf>
    <xf numFmtId="196" fontId="9" fillId="44" borderId="0" xfId="0" applyNumberFormat="1" applyFont="1" applyFill="1" applyBorder="1" applyAlignment="1">
      <alignment horizontal="center" vertical="center" wrapText="1"/>
    </xf>
    <xf numFmtId="196" fontId="0" fillId="44" borderId="0" xfId="0" applyNumberFormat="1" applyFont="1" applyFill="1" applyBorder="1" applyAlignment="1">
      <alignment wrapText="1"/>
    </xf>
    <xf numFmtId="196" fontId="8" fillId="44" borderId="0" xfId="0" applyNumberFormat="1" applyFont="1" applyFill="1" applyBorder="1" applyAlignment="1">
      <alignment wrapText="1"/>
    </xf>
    <xf numFmtId="196" fontId="3" fillId="44" borderId="0" xfId="0" applyNumberFormat="1" applyFont="1" applyFill="1" applyBorder="1" applyAlignment="1">
      <alignment wrapText="1"/>
    </xf>
    <xf numFmtId="196" fontId="7" fillId="44" borderId="0" xfId="0" applyNumberFormat="1" applyFont="1" applyFill="1" applyBorder="1" applyAlignment="1">
      <alignment wrapText="1"/>
    </xf>
    <xf numFmtId="199" fontId="9" fillId="44" borderId="0" xfId="0" applyNumberFormat="1" applyFont="1" applyFill="1" applyBorder="1" applyAlignment="1">
      <alignment horizontal="center" vertical="center" wrapText="1"/>
    </xf>
    <xf numFmtId="199" fontId="9" fillId="44" borderId="0" xfId="0" applyNumberFormat="1" applyFont="1" applyFill="1" applyBorder="1" applyAlignment="1">
      <alignment horizontal="center" wrapText="1"/>
    </xf>
    <xf numFmtId="196" fontId="9" fillId="44" borderId="0" xfId="0" applyNumberFormat="1" applyFont="1" applyFill="1" applyBorder="1" applyAlignment="1">
      <alignment horizontal="center" wrapText="1"/>
    </xf>
    <xf numFmtId="198" fontId="9" fillId="44" borderId="0" xfId="0" applyNumberFormat="1" applyFont="1" applyFill="1" applyBorder="1" applyAlignment="1" quotePrefix="1">
      <alignment horizontal="left" wrapText="1"/>
    </xf>
    <xf numFmtId="198" fontId="8" fillId="44" borderId="0" xfId="0" applyNumberFormat="1" applyFont="1" applyFill="1" applyBorder="1" applyAlignment="1">
      <alignment wrapText="1"/>
    </xf>
    <xf numFmtId="198" fontId="7" fillId="44" borderId="0" xfId="0" applyNumberFormat="1" applyFont="1" applyFill="1" applyBorder="1" applyAlignment="1">
      <alignment wrapText="1"/>
    </xf>
    <xf numFmtId="198" fontId="9" fillId="44" borderId="0" xfId="0" applyNumberFormat="1" applyFont="1" applyFill="1" applyBorder="1" applyAlignment="1">
      <alignment horizontal="center" vertical="center" wrapText="1"/>
    </xf>
    <xf numFmtId="198" fontId="9" fillId="44" borderId="0" xfId="0" applyNumberFormat="1" applyFont="1" applyFill="1" applyBorder="1" applyAlignment="1">
      <alignment horizontal="center" wrapText="1"/>
    </xf>
    <xf numFmtId="198" fontId="8" fillId="34" borderId="0" xfId="0" applyNumberFormat="1" applyFont="1" applyFill="1" applyBorder="1" applyAlignment="1">
      <alignment wrapText="1"/>
    </xf>
    <xf numFmtId="190" fontId="0" fillId="44" borderId="10" xfId="0" applyNumberFormat="1" applyFont="1" applyFill="1" applyBorder="1" applyAlignment="1">
      <alignment/>
    </xf>
    <xf numFmtId="190" fontId="3" fillId="44" borderId="10" xfId="0" applyNumberFormat="1" applyFont="1" applyFill="1" applyBorder="1" applyAlignment="1">
      <alignment/>
    </xf>
    <xf numFmtId="37" fontId="3" fillId="44" borderId="0" xfId="0" applyNumberFormat="1" applyFont="1" applyFill="1" applyBorder="1" applyAlignment="1">
      <alignment/>
    </xf>
    <xf numFmtId="186" fontId="0" fillId="44" borderId="0" xfId="0" applyNumberFormat="1" applyFont="1" applyFill="1" applyBorder="1" applyAlignment="1">
      <alignment/>
    </xf>
    <xf numFmtId="186" fontId="3" fillId="44" borderId="0" xfId="0" applyNumberFormat="1" applyFont="1" applyFill="1" applyBorder="1" applyAlignment="1">
      <alignment/>
    </xf>
    <xf numFmtId="190" fontId="3" fillId="44" borderId="0" xfId="0" applyNumberFormat="1" applyFont="1" applyFill="1" applyBorder="1" applyAlignment="1">
      <alignment/>
    </xf>
    <xf numFmtId="190" fontId="0" fillId="44" borderId="0" xfId="0" applyNumberFormat="1" applyFont="1" applyFill="1" applyBorder="1" applyAlignment="1">
      <alignment horizontal="right"/>
    </xf>
    <xf numFmtId="190" fontId="3" fillId="44" borderId="0" xfId="0" applyNumberFormat="1" applyFont="1" applyFill="1" applyBorder="1" applyAlignment="1">
      <alignment horizontal="right"/>
    </xf>
    <xf numFmtId="37" fontId="0" fillId="44" borderId="0" xfId="0" applyNumberFormat="1" applyFont="1" applyFill="1" applyBorder="1" applyAlignment="1">
      <alignment/>
    </xf>
    <xf numFmtId="196" fontId="0" fillId="44" borderId="0" xfId="0" applyNumberFormat="1" applyFont="1" applyFill="1" applyBorder="1" applyAlignment="1">
      <alignment/>
    </xf>
    <xf numFmtId="196" fontId="3" fillId="44" borderId="0" xfId="0" applyNumberFormat="1" applyFont="1" applyFill="1" applyBorder="1" applyAlignment="1">
      <alignment/>
    </xf>
    <xf numFmtId="0" fontId="0" fillId="44" borderId="0" xfId="0" applyNumberFormat="1" applyFill="1" applyAlignment="1">
      <alignment/>
    </xf>
    <xf numFmtId="198" fontId="0" fillId="44" borderId="0" xfId="0" applyNumberFormat="1" applyFont="1" applyFill="1" applyBorder="1" applyAlignment="1">
      <alignment/>
    </xf>
    <xf numFmtId="198" fontId="3" fillId="44" borderId="0" xfId="0" applyNumberFormat="1" applyFont="1" applyFill="1" applyBorder="1" applyAlignment="1">
      <alignment/>
    </xf>
    <xf numFmtId="37" fontId="0" fillId="36" borderId="0" xfId="0" applyNumberFormat="1" applyFont="1" applyFill="1" applyBorder="1" applyAlignment="1">
      <alignment horizontal="right"/>
    </xf>
    <xf numFmtId="0" fontId="9" fillId="34" borderId="0" xfId="0" applyNumberFormat="1" applyFont="1" applyFill="1" applyBorder="1" applyAlignment="1">
      <alignment horizontal="left" wrapText="1"/>
    </xf>
    <xf numFmtId="190" fontId="0" fillId="34" borderId="10" xfId="0" applyNumberFormat="1" applyFont="1" applyFill="1" applyBorder="1" applyAlignment="1">
      <alignment/>
    </xf>
    <xf numFmtId="190" fontId="0" fillId="45" borderId="0" xfId="0" applyNumberFormat="1" applyFont="1" applyFill="1" applyBorder="1" applyAlignment="1">
      <alignment/>
    </xf>
    <xf numFmtId="0" fontId="0" fillId="35" borderId="0" xfId="0" applyNumberFormat="1" applyFont="1" applyFill="1" applyBorder="1" applyAlignment="1">
      <alignment/>
    </xf>
    <xf numFmtId="190" fontId="0" fillId="36" borderId="0" xfId="0" applyNumberFormat="1" applyFont="1" applyFill="1" applyBorder="1" applyAlignment="1">
      <alignment horizontal="right"/>
    </xf>
    <xf numFmtId="196" fontId="17" fillId="34" borderId="0" xfId="0" applyNumberFormat="1" applyFont="1" applyFill="1" applyBorder="1" applyAlignment="1">
      <alignment horizontal="center"/>
    </xf>
    <xf numFmtId="201" fontId="0" fillId="36" borderId="0" xfId="0" applyNumberFormat="1" applyFont="1" applyFill="1" applyBorder="1" applyAlignment="1">
      <alignment/>
    </xf>
    <xf numFmtId="201" fontId="3" fillId="36" borderId="0" xfId="0" applyNumberFormat="1" applyFont="1" applyFill="1" applyBorder="1" applyAlignment="1">
      <alignment/>
    </xf>
    <xf numFmtId="196" fontId="3" fillId="36" borderId="0" xfId="0" applyNumberFormat="1" applyFont="1" applyFill="1" applyBorder="1" applyAlignment="1">
      <alignment horizontal="right"/>
    </xf>
    <xf numFmtId="0" fontId="0" fillId="34" borderId="0" xfId="0" applyNumberFormat="1" applyFont="1" applyFill="1" applyBorder="1" applyAlignment="1">
      <alignment horizontal="justify"/>
    </xf>
    <xf numFmtId="0" fontId="9" fillId="34" borderId="0" xfId="0" applyNumberFormat="1" applyFont="1" applyFill="1" applyBorder="1" applyAlignment="1">
      <alignment horizontal="justify"/>
    </xf>
    <xf numFmtId="190" fontId="3" fillId="33" borderId="0" xfId="0" applyNumberFormat="1" applyFont="1" applyFill="1" applyBorder="1" applyAlignment="1">
      <alignment/>
    </xf>
    <xf numFmtId="190" fontId="0" fillId="38" borderId="0" xfId="0" applyNumberFormat="1" applyFont="1" applyFill="1" applyBorder="1" applyAlignment="1">
      <alignment/>
    </xf>
    <xf numFmtId="190" fontId="0" fillId="33" borderId="0" xfId="0" applyNumberFormat="1" applyFont="1" applyFill="1" applyBorder="1" applyAlignment="1">
      <alignment/>
    </xf>
    <xf numFmtId="190" fontId="0" fillId="33" borderId="0" xfId="0" applyNumberFormat="1" applyFont="1" applyFill="1" applyBorder="1" applyAlignment="1">
      <alignment horizontal="right"/>
    </xf>
    <xf numFmtId="190" fontId="3" fillId="33" borderId="0" xfId="0" applyNumberFormat="1" applyFont="1" applyFill="1" applyBorder="1" applyAlignment="1">
      <alignment horizontal="right"/>
    </xf>
    <xf numFmtId="196" fontId="9" fillId="33" borderId="0" xfId="0" applyNumberFormat="1" applyFont="1" applyFill="1" applyBorder="1" applyAlignment="1">
      <alignment horizontal="center" wrapText="1"/>
    </xf>
    <xf numFmtId="190" fontId="18" fillId="35" borderId="10" xfId="0" applyNumberFormat="1" applyFont="1" applyFill="1" applyBorder="1" applyAlignment="1">
      <alignment/>
    </xf>
    <xf numFmtId="202" fontId="0" fillId="38" borderId="0" xfId="0" applyNumberFormat="1" applyFont="1" applyFill="1" applyBorder="1" applyAlignment="1">
      <alignment/>
    </xf>
    <xf numFmtId="202" fontId="3" fillId="38" borderId="0" xfId="0" applyNumberFormat="1" applyFont="1" applyFill="1" applyBorder="1" applyAlignment="1">
      <alignment/>
    </xf>
    <xf numFmtId="0" fontId="0" fillId="36" borderId="0" xfId="0" applyNumberFormat="1" applyFont="1" applyFill="1" applyBorder="1" applyAlignment="1">
      <alignment horizontal="center"/>
    </xf>
    <xf numFmtId="202" fontId="0" fillId="35" borderId="10" xfId="0" applyNumberFormat="1" applyFont="1" applyFill="1" applyBorder="1" applyAlignment="1">
      <alignment/>
    </xf>
    <xf numFmtId="202" fontId="0" fillId="36" borderId="0" xfId="0" applyNumberFormat="1" applyFont="1" applyFill="1" applyBorder="1" applyAlignment="1">
      <alignment/>
    </xf>
    <xf numFmtId="202" fontId="0" fillId="45" borderId="0" xfId="0" applyNumberFormat="1" applyFont="1" applyFill="1" applyBorder="1" applyAlignment="1">
      <alignment/>
    </xf>
    <xf numFmtId="1" fontId="0" fillId="36" borderId="0" xfId="0" applyNumberFormat="1" applyFont="1" applyFill="1" applyBorder="1" applyAlignment="1">
      <alignment/>
    </xf>
    <xf numFmtId="186" fontId="0" fillId="34" borderId="0" xfId="0" applyNumberFormat="1" applyFont="1" applyFill="1" applyBorder="1" applyAlignment="1">
      <alignment/>
    </xf>
    <xf numFmtId="202" fontId="9" fillId="35" borderId="0" xfId="0" applyNumberFormat="1" applyFont="1" applyFill="1" applyBorder="1" applyAlignment="1">
      <alignment/>
    </xf>
    <xf numFmtId="202" fontId="3" fillId="36" borderId="0" xfId="0" applyNumberFormat="1" applyFont="1" applyFill="1" applyBorder="1" applyAlignment="1">
      <alignment/>
    </xf>
    <xf numFmtId="202" fontId="3" fillId="35" borderId="10" xfId="0" applyNumberFormat="1" applyFont="1" applyFill="1" applyBorder="1" applyAlignment="1">
      <alignment/>
    </xf>
    <xf numFmtId="202" fontId="0" fillId="34" borderId="0" xfId="0" applyNumberFormat="1" applyFont="1" applyFill="1" applyBorder="1" applyAlignment="1">
      <alignment/>
    </xf>
    <xf numFmtId="202" fontId="9" fillId="44" borderId="0" xfId="0" applyNumberFormat="1" applyFont="1" applyFill="1" applyBorder="1" applyAlignment="1">
      <alignment horizontal="center" wrapText="1"/>
    </xf>
    <xf numFmtId="202" fontId="9" fillId="44" borderId="10" xfId="0" applyNumberFormat="1" applyFont="1" applyFill="1" applyBorder="1" applyAlignment="1">
      <alignment horizontal="center" wrapText="1"/>
    </xf>
    <xf numFmtId="202" fontId="0" fillId="44" borderId="10" xfId="0" applyNumberFormat="1" applyFont="1" applyFill="1" applyBorder="1" applyAlignment="1">
      <alignment/>
    </xf>
    <xf numFmtId="202" fontId="3" fillId="44" borderId="10" xfId="0" applyNumberFormat="1" applyFont="1" applyFill="1" applyBorder="1" applyAlignment="1">
      <alignment/>
    </xf>
    <xf numFmtId="196" fontId="3" fillId="42" borderId="0" xfId="0" applyNumberFormat="1" applyFont="1" applyFill="1" applyBorder="1" applyAlignment="1">
      <alignment wrapText="1"/>
    </xf>
    <xf numFmtId="196" fontId="3" fillId="42" borderId="0" xfId="0" applyNumberFormat="1" applyFont="1" applyFill="1" applyBorder="1" applyAlignment="1">
      <alignment/>
    </xf>
    <xf numFmtId="196" fontId="0" fillId="42" borderId="0" xfId="0" applyNumberFormat="1" applyFont="1" applyFill="1" applyBorder="1" applyAlignment="1">
      <alignment/>
    </xf>
    <xf numFmtId="196" fontId="0" fillId="42" borderId="0" xfId="0" applyNumberFormat="1" applyFont="1" applyFill="1" applyBorder="1" applyAlignment="1">
      <alignment wrapText="1"/>
    </xf>
    <xf numFmtId="196" fontId="3" fillId="46" borderId="0" xfId="0" applyNumberFormat="1" applyFont="1" applyFill="1" applyBorder="1" applyAlignment="1">
      <alignment/>
    </xf>
    <xf numFmtId="196" fontId="0" fillId="46" borderId="0" xfId="0" applyNumberFormat="1" applyFont="1" applyFill="1" applyBorder="1" applyAlignment="1">
      <alignment/>
    </xf>
    <xf numFmtId="196" fontId="3" fillId="47" borderId="0" xfId="0" applyNumberFormat="1" applyFont="1" applyFill="1" applyBorder="1" applyAlignment="1">
      <alignment/>
    </xf>
    <xf numFmtId="190" fontId="9" fillId="35" borderId="0" xfId="0" applyNumberFormat="1" applyFont="1" applyFill="1" applyBorder="1" applyAlignment="1">
      <alignment horizontal="right" vertical="center" wrapText="1"/>
    </xf>
    <xf numFmtId="190" fontId="9" fillId="35" borderId="10" xfId="0" applyNumberFormat="1" applyFont="1" applyFill="1" applyBorder="1" applyAlignment="1">
      <alignment horizontal="right" vertical="center" wrapText="1"/>
    </xf>
    <xf numFmtId="37" fontId="0" fillId="34" borderId="0" xfId="0" applyNumberFormat="1" applyFont="1" applyFill="1" applyBorder="1" applyAlignment="1">
      <alignment horizontal="right" vertical="center"/>
    </xf>
    <xf numFmtId="196" fontId="9" fillId="35" borderId="0" xfId="0" applyNumberFormat="1" applyFont="1" applyFill="1" applyBorder="1" applyAlignment="1">
      <alignment vertical="center" wrapText="1"/>
    </xf>
    <xf numFmtId="196" fontId="0" fillId="34" borderId="0" xfId="0" applyNumberFormat="1" applyFont="1" applyFill="1" applyBorder="1" applyAlignment="1">
      <alignment vertical="center"/>
    </xf>
    <xf numFmtId="196" fontId="3" fillId="46" borderId="0" xfId="0" applyNumberFormat="1" applyFont="1" applyFill="1" applyBorder="1" applyAlignment="1">
      <alignment wrapText="1"/>
    </xf>
    <xf numFmtId="196" fontId="3" fillId="48" borderId="0" xfId="0" applyNumberFormat="1" applyFont="1" applyFill="1" applyBorder="1" applyAlignment="1">
      <alignment/>
    </xf>
    <xf numFmtId="196" fontId="7" fillId="46" borderId="0" xfId="0" applyNumberFormat="1" applyFont="1" applyFill="1" applyBorder="1" applyAlignment="1">
      <alignment wrapText="1"/>
    </xf>
    <xf numFmtId="37" fontId="0" fillId="35" borderId="0" xfId="0" applyNumberFormat="1" applyFont="1" applyFill="1" applyBorder="1" applyAlignment="1">
      <alignment horizontal="right"/>
    </xf>
    <xf numFmtId="190" fontId="13" fillId="34" borderId="0" xfId="0" applyNumberFormat="1" applyFont="1" applyFill="1" applyBorder="1" applyAlignment="1">
      <alignment/>
    </xf>
    <xf numFmtId="186" fontId="13" fillId="34" borderId="0" xfId="0" applyNumberFormat="1" applyFont="1" applyFill="1" applyBorder="1" applyAlignment="1">
      <alignment/>
    </xf>
    <xf numFmtId="0" fontId="19" fillId="34" borderId="0" xfId="0" applyNumberFormat="1" applyFont="1" applyFill="1" applyBorder="1" applyAlignment="1">
      <alignment/>
    </xf>
    <xf numFmtId="37" fontId="2" fillId="34" borderId="0" xfId="0" applyNumberFormat="1" applyFont="1" applyFill="1" applyBorder="1" applyAlignment="1">
      <alignment/>
    </xf>
    <xf numFmtId="190" fontId="20" fillId="35" borderId="0" xfId="0" applyNumberFormat="1" applyFont="1" applyFill="1" applyBorder="1" applyAlignment="1">
      <alignment horizontal="right" vertical="center" wrapText="1"/>
    </xf>
    <xf numFmtId="190" fontId="2" fillId="34" borderId="0" xfId="0" applyNumberFormat="1" applyFont="1" applyFill="1" applyBorder="1" applyAlignment="1">
      <alignment/>
    </xf>
    <xf numFmtId="202" fontId="20" fillId="35" borderId="0" xfId="0" applyNumberFormat="1" applyFont="1" applyFill="1" applyBorder="1" applyAlignment="1">
      <alignment/>
    </xf>
    <xf numFmtId="202" fontId="2" fillId="36" borderId="0" xfId="0" applyNumberFormat="1" applyFont="1" applyFill="1" applyBorder="1" applyAlignment="1">
      <alignment/>
    </xf>
    <xf numFmtId="202" fontId="4" fillId="36" borderId="0" xfId="0" applyNumberFormat="1" applyFont="1" applyFill="1" applyBorder="1" applyAlignment="1">
      <alignment/>
    </xf>
    <xf numFmtId="202" fontId="2" fillId="34" borderId="0" xfId="0" applyNumberFormat="1" applyFont="1" applyFill="1" applyBorder="1" applyAlignment="1">
      <alignment/>
    </xf>
    <xf numFmtId="202" fontId="20" fillId="44" borderId="0" xfId="0" applyNumberFormat="1" applyFont="1" applyFill="1" applyBorder="1" applyAlignment="1">
      <alignment horizontal="center" wrapText="1"/>
    </xf>
    <xf numFmtId="2" fontId="20" fillId="35" borderId="10" xfId="0" applyNumberFormat="1" applyFont="1" applyFill="1" applyBorder="1" applyAlignment="1">
      <alignment horizontal="right" vertical="center" wrapText="1"/>
    </xf>
    <xf numFmtId="202" fontId="2" fillId="35" borderId="10" xfId="0" applyNumberFormat="1" applyFont="1" applyFill="1" applyBorder="1" applyAlignment="1">
      <alignment/>
    </xf>
    <xf numFmtId="202" fontId="4" fillId="35" borderId="10" xfId="0" applyNumberFormat="1" applyFont="1" applyFill="1" applyBorder="1" applyAlignment="1">
      <alignment/>
    </xf>
    <xf numFmtId="202" fontId="20" fillId="44" borderId="10" xfId="0" applyNumberFormat="1" applyFont="1" applyFill="1" applyBorder="1" applyAlignment="1">
      <alignment horizontal="center" wrapText="1"/>
    </xf>
    <xf numFmtId="202" fontId="2" fillId="44" borderId="10" xfId="0" applyNumberFormat="1" applyFont="1" applyFill="1" applyBorder="1" applyAlignment="1">
      <alignment/>
    </xf>
    <xf numFmtId="202" fontId="4" fillId="44" borderId="10" xfId="0" applyNumberFormat="1" applyFont="1" applyFill="1" applyBorder="1" applyAlignment="1">
      <alignment/>
    </xf>
    <xf numFmtId="190" fontId="2" fillId="35" borderId="0" xfId="0" applyNumberFormat="1" applyFont="1" applyFill="1" applyBorder="1" applyAlignment="1">
      <alignment/>
    </xf>
    <xf numFmtId="190" fontId="4" fillId="35" borderId="0" xfId="0" applyNumberFormat="1" applyFont="1" applyFill="1" applyBorder="1" applyAlignment="1">
      <alignment/>
    </xf>
    <xf numFmtId="190" fontId="20" fillId="44" borderId="10" xfId="0" applyNumberFormat="1" applyFont="1" applyFill="1" applyBorder="1" applyAlignment="1">
      <alignment horizontal="center" wrapText="1"/>
    </xf>
    <xf numFmtId="190" fontId="2" fillId="44" borderId="0" xfId="0" applyNumberFormat="1" applyFont="1" applyFill="1" applyBorder="1" applyAlignment="1">
      <alignment/>
    </xf>
    <xf numFmtId="190" fontId="4" fillId="44" borderId="0" xfId="0" applyNumberFormat="1" applyFont="1" applyFill="1" applyBorder="1" applyAlignment="1">
      <alignment/>
    </xf>
    <xf numFmtId="190" fontId="2" fillId="36" borderId="0" xfId="0" applyNumberFormat="1" applyFont="1" applyFill="1" applyBorder="1" applyAlignment="1">
      <alignment/>
    </xf>
    <xf numFmtId="190" fontId="4" fillId="36" borderId="0" xfId="0" applyNumberFormat="1" applyFont="1" applyFill="1" applyBorder="1" applyAlignment="1">
      <alignment/>
    </xf>
    <xf numFmtId="190" fontId="20" fillId="44" borderId="0" xfId="0" applyNumberFormat="1" applyFont="1" applyFill="1" applyBorder="1" applyAlignment="1">
      <alignment horizontal="center" wrapText="1"/>
    </xf>
    <xf numFmtId="190" fontId="20" fillId="35" borderId="0" xfId="0" applyNumberFormat="1" applyFont="1" applyFill="1" applyBorder="1" applyAlignment="1">
      <alignment horizontal="center" wrapText="1"/>
    </xf>
    <xf numFmtId="190" fontId="20" fillId="44" borderId="0" xfId="0" applyNumberFormat="1" applyFont="1" applyFill="1" applyBorder="1" applyAlignment="1">
      <alignment wrapText="1"/>
    </xf>
    <xf numFmtId="190" fontId="20" fillId="35" borderId="10" xfId="0" applyNumberFormat="1" applyFont="1" applyFill="1" applyBorder="1" applyAlignment="1">
      <alignment horizontal="center" wrapText="1"/>
    </xf>
    <xf numFmtId="0" fontId="21" fillId="34" borderId="0" xfId="0" applyNumberFormat="1" applyFont="1" applyFill="1" applyBorder="1" applyAlignment="1">
      <alignment/>
    </xf>
    <xf numFmtId="196" fontId="20" fillId="35" borderId="0" xfId="0" applyNumberFormat="1" applyFont="1" applyFill="1" applyBorder="1" applyAlignment="1">
      <alignment horizontal="center" vertical="center" wrapText="1"/>
    </xf>
    <xf numFmtId="196" fontId="2" fillId="34" borderId="0" xfId="0" applyNumberFormat="1" applyFont="1" applyFill="1" applyBorder="1" applyAlignment="1">
      <alignment/>
    </xf>
    <xf numFmtId="196" fontId="4" fillId="35" borderId="0" xfId="0" applyNumberFormat="1" applyFont="1" applyFill="1" applyBorder="1" applyAlignment="1">
      <alignment/>
    </xf>
    <xf numFmtId="196" fontId="4" fillId="42" borderId="0" xfId="0" applyNumberFormat="1" applyFont="1" applyFill="1" applyBorder="1" applyAlignment="1">
      <alignment/>
    </xf>
    <xf numFmtId="196" fontId="4" fillId="46" borderId="0" xfId="0" applyNumberFormat="1" applyFont="1" applyFill="1" applyBorder="1" applyAlignment="1">
      <alignment/>
    </xf>
    <xf numFmtId="196" fontId="4" fillId="36" borderId="0" xfId="0" applyNumberFormat="1" applyFont="1" applyFill="1" applyBorder="1" applyAlignment="1">
      <alignment/>
    </xf>
    <xf numFmtId="196" fontId="2" fillId="36" borderId="0" xfId="0" applyNumberFormat="1" applyFont="1" applyFill="1" applyBorder="1" applyAlignment="1">
      <alignment horizontal="right"/>
    </xf>
    <xf numFmtId="196" fontId="4" fillId="47" borderId="0" xfId="0" applyNumberFormat="1" applyFont="1" applyFill="1" applyBorder="1" applyAlignment="1">
      <alignment/>
    </xf>
    <xf numFmtId="196" fontId="2" fillId="46" borderId="0" xfId="0" applyNumberFormat="1" applyFont="1" applyFill="1" applyBorder="1" applyAlignment="1">
      <alignment/>
    </xf>
    <xf numFmtId="196" fontId="4" fillId="48" borderId="0" xfId="0" applyNumberFormat="1" applyFont="1" applyFill="1" applyBorder="1" applyAlignment="1">
      <alignment/>
    </xf>
    <xf numFmtId="14" fontId="20" fillId="35" borderId="0" xfId="0" applyNumberFormat="1" applyFont="1" applyFill="1" applyBorder="1" applyAlignment="1">
      <alignment horizontal="center" vertical="center" wrapText="1"/>
    </xf>
    <xf numFmtId="196" fontId="2" fillId="33" borderId="0" xfId="0" applyNumberFormat="1" applyFont="1" applyFill="1" applyBorder="1" applyAlignment="1">
      <alignment/>
    </xf>
    <xf numFmtId="196" fontId="20" fillId="34" borderId="0" xfId="0" applyNumberFormat="1" applyFont="1" applyFill="1" applyBorder="1" applyAlignment="1">
      <alignment horizontal="center" wrapText="1"/>
    </xf>
    <xf numFmtId="196" fontId="4" fillId="34" borderId="0" xfId="0" applyNumberFormat="1" applyFont="1" applyFill="1" applyBorder="1" applyAlignment="1">
      <alignment/>
    </xf>
    <xf numFmtId="196" fontId="4" fillId="34" borderId="0" xfId="0" applyNumberFormat="1" applyFont="1" applyFill="1" applyBorder="1" applyAlignment="1">
      <alignment horizontal="center" wrapText="1"/>
    </xf>
    <xf numFmtId="199" fontId="20" fillId="35" borderId="0" xfId="0" applyNumberFormat="1" applyFont="1" applyFill="1" applyBorder="1" applyAlignment="1">
      <alignment horizontal="center" wrapText="1"/>
    </xf>
    <xf numFmtId="196" fontId="4" fillId="34" borderId="0" xfId="0" applyNumberFormat="1" applyFont="1" applyFill="1" applyBorder="1" applyAlignment="1">
      <alignment vertical="center" wrapText="1"/>
    </xf>
    <xf numFmtId="196" fontId="20" fillId="44" borderId="0" xfId="0" applyNumberFormat="1" applyFont="1" applyFill="1" applyBorder="1" applyAlignment="1">
      <alignment horizontal="center" wrapText="1"/>
    </xf>
    <xf numFmtId="199" fontId="20" fillId="44" borderId="0" xfId="0" applyNumberFormat="1" applyFont="1" applyFill="1" applyBorder="1" applyAlignment="1">
      <alignment horizontal="center" wrapText="1"/>
    </xf>
    <xf numFmtId="196" fontId="4" fillId="33" borderId="0" xfId="0" applyNumberFormat="1" applyFont="1" applyFill="1" applyBorder="1" applyAlignment="1">
      <alignment/>
    </xf>
    <xf numFmtId="196" fontId="2" fillId="44" borderId="0" xfId="0" applyNumberFormat="1" applyFont="1" applyFill="1" applyBorder="1" applyAlignment="1">
      <alignment/>
    </xf>
    <xf numFmtId="196" fontId="4" fillId="44" borderId="0" xfId="0" applyNumberFormat="1" applyFont="1" applyFill="1" applyBorder="1" applyAlignment="1">
      <alignment/>
    </xf>
    <xf numFmtId="196" fontId="20" fillId="35" borderId="0" xfId="0" applyNumberFormat="1" applyFont="1" applyFill="1" applyBorder="1" applyAlignment="1">
      <alignment horizontal="center" wrapText="1"/>
    </xf>
    <xf numFmtId="198" fontId="2" fillId="34" borderId="0" xfId="0" applyNumberFormat="1" applyFont="1" applyFill="1" applyBorder="1" applyAlignment="1">
      <alignment/>
    </xf>
    <xf numFmtId="196" fontId="20" fillId="33" borderId="0" xfId="0" applyNumberFormat="1" applyFont="1" applyFill="1" applyBorder="1" applyAlignment="1">
      <alignment horizontal="center" wrapText="1"/>
    </xf>
    <xf numFmtId="0" fontId="2" fillId="0" borderId="0" xfId="0" applyNumberFormat="1" applyFont="1" applyAlignment="1">
      <alignment/>
    </xf>
    <xf numFmtId="190" fontId="20" fillId="44" borderId="0" xfId="0" applyNumberFormat="1" applyFont="1" applyFill="1" applyBorder="1" applyAlignment="1">
      <alignment horizontal="right" vertical="center" wrapText="1"/>
    </xf>
    <xf numFmtId="196" fontId="4" fillId="36" borderId="0" xfId="0" applyNumberFormat="1" applyFont="1" applyFill="1" applyBorder="1" applyAlignment="1">
      <alignment horizontal="right"/>
    </xf>
    <xf numFmtId="196" fontId="20" fillId="44" borderId="0" xfId="0" applyNumberFormat="1" applyFont="1" applyFill="1" applyBorder="1" applyAlignment="1">
      <alignment horizontal="center" vertical="center" wrapText="1"/>
    </xf>
    <xf numFmtId="3" fontId="0" fillId="33" borderId="0" xfId="0" applyNumberFormat="1" applyFont="1" applyFill="1" applyBorder="1" applyAlignment="1">
      <alignment/>
    </xf>
    <xf numFmtId="0" fontId="0" fillId="33" borderId="0" xfId="0" applyNumberFormat="1" applyFill="1" applyAlignment="1">
      <alignment/>
    </xf>
    <xf numFmtId="190" fontId="0" fillId="49" borderId="0" xfId="0" applyNumberFormat="1" applyFont="1" applyFill="1" applyBorder="1" applyAlignment="1">
      <alignment/>
    </xf>
    <xf numFmtId="190" fontId="0" fillId="33" borderId="10" xfId="0" applyNumberFormat="1" applyFont="1" applyFill="1" applyBorder="1" applyAlignment="1">
      <alignment/>
    </xf>
    <xf numFmtId="190" fontId="3" fillId="49" borderId="0" xfId="0" applyNumberFormat="1" applyFont="1" applyFill="1" applyBorder="1" applyAlignment="1">
      <alignment/>
    </xf>
    <xf numFmtId="202" fontId="0" fillId="33" borderId="10" xfId="0" applyNumberFormat="1" applyFont="1" applyFill="1" applyBorder="1" applyAlignment="1">
      <alignment/>
    </xf>
    <xf numFmtId="190" fontId="9" fillId="33" borderId="0" xfId="0" applyNumberFormat="1" applyFont="1" applyFill="1" applyBorder="1" applyAlignment="1">
      <alignment horizontal="right" wrapText="1"/>
    </xf>
    <xf numFmtId="190" fontId="9" fillId="33" borderId="0" xfId="0" applyNumberFormat="1" applyFont="1" applyFill="1" applyBorder="1" applyAlignment="1">
      <alignment wrapText="1"/>
    </xf>
    <xf numFmtId="190" fontId="9" fillId="33" borderId="0" xfId="0" applyNumberFormat="1" applyFont="1" applyFill="1" applyBorder="1" applyAlignment="1">
      <alignment horizontal="center" wrapText="1"/>
    </xf>
    <xf numFmtId="0" fontId="9" fillId="33" borderId="0" xfId="0" applyNumberFormat="1" applyFont="1" applyFill="1" applyBorder="1" applyAlignment="1">
      <alignment horizontal="center" wrapText="1"/>
    </xf>
    <xf numFmtId="0" fontId="3" fillId="33" borderId="0" xfId="0" applyNumberFormat="1" applyFont="1" applyFill="1" applyBorder="1" applyAlignment="1">
      <alignment horizontal="center" wrapText="1"/>
    </xf>
    <xf numFmtId="196" fontId="3" fillId="33" borderId="0" xfId="0" applyNumberFormat="1" applyFont="1" applyFill="1" applyBorder="1" applyAlignment="1">
      <alignment horizontal="center" wrapText="1"/>
    </xf>
    <xf numFmtId="196" fontId="0" fillId="49" borderId="0" xfId="0" applyNumberFormat="1" applyFont="1" applyFill="1" applyBorder="1" applyAlignment="1">
      <alignment/>
    </xf>
    <xf numFmtId="196" fontId="3" fillId="49" borderId="0" xfId="0" applyNumberFormat="1" applyFont="1" applyFill="1" applyBorder="1" applyAlignment="1">
      <alignment/>
    </xf>
    <xf numFmtId="199" fontId="9" fillId="33" borderId="0" xfId="0" applyNumberFormat="1" applyFont="1" applyFill="1" applyBorder="1" applyAlignment="1">
      <alignment horizontal="center" wrapText="1"/>
    </xf>
    <xf numFmtId="196" fontId="3" fillId="33" borderId="0" xfId="0" applyNumberFormat="1" applyFont="1" applyFill="1" applyBorder="1" applyAlignment="1">
      <alignment vertical="center" wrapText="1"/>
    </xf>
    <xf numFmtId="198" fontId="9" fillId="33" borderId="0" xfId="0" applyNumberFormat="1" applyFont="1" applyFill="1" applyBorder="1" applyAlignment="1">
      <alignment horizontal="center" wrapText="1"/>
    </xf>
    <xf numFmtId="198" fontId="0" fillId="49" borderId="0" xfId="0" applyNumberFormat="1" applyFont="1" applyFill="1" applyBorder="1" applyAlignment="1">
      <alignment/>
    </xf>
    <xf numFmtId="198" fontId="3" fillId="49" borderId="0" xfId="0" applyNumberFormat="1" applyFont="1" applyFill="1" applyBorder="1" applyAlignment="1">
      <alignment/>
    </xf>
    <xf numFmtId="37" fontId="0" fillId="49" borderId="0" xfId="0" applyNumberFormat="1" applyFont="1" applyFill="1" applyBorder="1" applyAlignment="1">
      <alignment/>
    </xf>
    <xf numFmtId="37" fontId="3" fillId="49" borderId="0" xfId="0" applyNumberFormat="1" applyFont="1" applyFill="1" applyBorder="1" applyAlignment="1">
      <alignment/>
    </xf>
    <xf numFmtId="0" fontId="3" fillId="33" borderId="0" xfId="0" applyNumberFormat="1" applyFont="1" applyFill="1" applyBorder="1" applyAlignment="1">
      <alignment horizontal="center" vertical="center" wrapText="1"/>
    </xf>
    <xf numFmtId="0" fontId="0" fillId="35" borderId="0" xfId="0" applyNumberFormat="1" applyFont="1" applyFill="1" applyBorder="1" applyAlignment="1">
      <alignment horizontal="left" wrapText="1" indent="1"/>
    </xf>
    <xf numFmtId="0" fontId="0" fillId="34" borderId="11" xfId="0" applyNumberFormat="1" applyFont="1" applyFill="1" applyBorder="1" applyAlignment="1">
      <alignment/>
    </xf>
    <xf numFmtId="0" fontId="9" fillId="35" borderId="11" xfId="0" applyNumberFormat="1" applyFont="1" applyFill="1" applyBorder="1" applyAlignment="1">
      <alignment horizontal="center" wrapText="1"/>
    </xf>
    <xf numFmtId="186" fontId="0" fillId="36" borderId="11" xfId="0" applyNumberFormat="1" applyFont="1" applyFill="1" applyBorder="1" applyAlignment="1">
      <alignment/>
    </xf>
    <xf numFmtId="190" fontId="3" fillId="36" borderId="11" xfId="0" applyNumberFormat="1" applyFont="1" applyFill="1" applyBorder="1" applyAlignment="1">
      <alignment/>
    </xf>
    <xf numFmtId="0" fontId="9" fillId="34" borderId="11" xfId="0" applyNumberFormat="1" applyFont="1" applyFill="1" applyBorder="1" applyAlignment="1">
      <alignment horizontal="center" wrapText="1"/>
    </xf>
    <xf numFmtId="190" fontId="3" fillId="33" borderId="11" xfId="0" applyNumberFormat="1" applyFont="1" applyFill="1" applyBorder="1" applyAlignment="1">
      <alignment/>
    </xf>
    <xf numFmtId="190" fontId="0" fillId="33" borderId="11" xfId="0" applyNumberFormat="1" applyFont="1" applyFill="1" applyBorder="1" applyAlignment="1">
      <alignment/>
    </xf>
    <xf numFmtId="190" fontId="0" fillId="33" borderId="11" xfId="0" applyNumberFormat="1" applyFont="1" applyFill="1" applyBorder="1" applyAlignment="1">
      <alignment horizontal="right"/>
    </xf>
    <xf numFmtId="190" fontId="3" fillId="33" borderId="11" xfId="0" applyNumberFormat="1" applyFont="1" applyFill="1" applyBorder="1" applyAlignment="1">
      <alignment horizontal="right"/>
    </xf>
    <xf numFmtId="190" fontId="9" fillId="33" borderId="11" xfId="0" applyNumberFormat="1" applyFont="1" applyFill="1" applyBorder="1" applyAlignment="1">
      <alignment horizontal="center" wrapText="1"/>
    </xf>
    <xf numFmtId="0" fontId="9" fillId="33" borderId="11" xfId="0" applyNumberFormat="1" applyFont="1" applyFill="1" applyBorder="1" applyAlignment="1">
      <alignment horizontal="center" wrapText="1"/>
    </xf>
    <xf numFmtId="37" fontId="0" fillId="33" borderId="11" xfId="0" applyNumberFormat="1" applyFont="1" applyFill="1" applyBorder="1" applyAlignment="1">
      <alignment/>
    </xf>
    <xf numFmtId="190" fontId="0" fillId="36" borderId="11" xfId="0" applyNumberFormat="1" applyFont="1" applyFill="1" applyBorder="1" applyAlignment="1">
      <alignment/>
    </xf>
    <xf numFmtId="190" fontId="9" fillId="35" borderId="12" xfId="0" applyNumberFormat="1" applyFont="1" applyFill="1" applyBorder="1" applyAlignment="1">
      <alignment horizontal="center" wrapText="1"/>
    </xf>
    <xf numFmtId="190" fontId="0" fillId="35" borderId="12" xfId="0" applyNumberFormat="1" applyFont="1" applyFill="1" applyBorder="1" applyAlignment="1">
      <alignment/>
    </xf>
    <xf numFmtId="190" fontId="3" fillId="35" borderId="12" xfId="0" applyNumberFormat="1" applyFont="1" applyFill="1" applyBorder="1" applyAlignment="1">
      <alignment/>
    </xf>
    <xf numFmtId="190" fontId="9" fillId="44" borderId="12" xfId="0" applyNumberFormat="1" applyFont="1" applyFill="1" applyBorder="1" applyAlignment="1">
      <alignment horizontal="center" wrapText="1"/>
    </xf>
    <xf numFmtId="190" fontId="0" fillId="44" borderId="12" xfId="0" applyNumberFormat="1" applyFont="1" applyFill="1" applyBorder="1" applyAlignment="1">
      <alignment/>
    </xf>
    <xf numFmtId="190" fontId="3" fillId="44" borderId="12" xfId="0" applyNumberFormat="1" applyFont="1" applyFill="1" applyBorder="1" applyAlignment="1">
      <alignment/>
    </xf>
    <xf numFmtId="190" fontId="0" fillId="34" borderId="11" xfId="0" applyNumberFormat="1" applyFont="1" applyFill="1" applyBorder="1" applyAlignment="1">
      <alignment/>
    </xf>
    <xf numFmtId="190" fontId="9" fillId="35" borderId="11" xfId="0" applyNumberFormat="1" applyFont="1" applyFill="1" applyBorder="1" applyAlignment="1">
      <alignment horizontal="center" wrapText="1"/>
    </xf>
    <xf numFmtId="2" fontId="9" fillId="35" borderId="12" xfId="0" applyNumberFormat="1" applyFont="1" applyFill="1" applyBorder="1" applyAlignment="1">
      <alignment horizontal="right" vertical="center" wrapText="1"/>
    </xf>
    <xf numFmtId="202" fontId="0" fillId="35" borderId="12" xfId="0" applyNumberFormat="1" applyFont="1" applyFill="1" applyBorder="1" applyAlignment="1">
      <alignment/>
    </xf>
    <xf numFmtId="202" fontId="3" fillId="35" borderId="12" xfId="0" applyNumberFormat="1" applyFont="1" applyFill="1" applyBorder="1" applyAlignment="1">
      <alignment/>
    </xf>
    <xf numFmtId="202" fontId="9" fillId="44" borderId="12" xfId="0" applyNumberFormat="1" applyFont="1" applyFill="1" applyBorder="1" applyAlignment="1">
      <alignment horizontal="center" wrapText="1"/>
    </xf>
    <xf numFmtId="202" fontId="0" fillId="44" borderId="12" xfId="0" applyNumberFormat="1" applyFont="1" applyFill="1" applyBorder="1" applyAlignment="1">
      <alignment/>
    </xf>
    <xf numFmtId="202" fontId="3" fillId="44" borderId="12" xfId="0" applyNumberFormat="1" applyFont="1" applyFill="1" applyBorder="1" applyAlignment="1">
      <alignment/>
    </xf>
    <xf numFmtId="37" fontId="0" fillId="34" borderId="11" xfId="0" applyNumberFormat="1" applyFont="1" applyFill="1" applyBorder="1" applyAlignment="1">
      <alignment/>
    </xf>
    <xf numFmtId="190" fontId="9" fillId="33" borderId="11" xfId="0" applyNumberFormat="1" applyFont="1" applyFill="1" applyBorder="1" applyAlignment="1">
      <alignment horizontal="right" wrapText="1"/>
    </xf>
    <xf numFmtId="190" fontId="0" fillId="34" borderId="12" xfId="0" applyNumberFormat="1" applyFont="1" applyFill="1" applyBorder="1" applyAlignment="1">
      <alignment/>
    </xf>
    <xf numFmtId="196" fontId="0" fillId="34" borderId="11" xfId="0" applyNumberFormat="1" applyFont="1" applyFill="1" applyBorder="1" applyAlignment="1">
      <alignment/>
    </xf>
    <xf numFmtId="196" fontId="0" fillId="36" borderId="11" xfId="0" applyNumberFormat="1" applyFont="1" applyFill="1" applyBorder="1" applyAlignment="1">
      <alignment/>
    </xf>
    <xf numFmtId="196" fontId="3" fillId="36" borderId="11" xfId="0" applyNumberFormat="1" applyFont="1" applyFill="1" applyBorder="1" applyAlignment="1">
      <alignment/>
    </xf>
    <xf numFmtId="196" fontId="0" fillId="36" borderId="11" xfId="0" applyNumberFormat="1" applyFont="1" applyFill="1" applyBorder="1" applyAlignment="1">
      <alignment horizontal="right"/>
    </xf>
    <xf numFmtId="196" fontId="3" fillId="47" borderId="11" xfId="0" applyNumberFormat="1" applyFont="1" applyFill="1" applyBorder="1" applyAlignment="1">
      <alignment/>
    </xf>
    <xf numFmtId="196" fontId="0" fillId="46" borderId="11" xfId="0" applyNumberFormat="1" applyFont="1" applyFill="1" applyBorder="1" applyAlignment="1">
      <alignment/>
    </xf>
    <xf numFmtId="196" fontId="3" fillId="48" borderId="11" xfId="0" applyNumberFormat="1" applyFont="1" applyFill="1" applyBorder="1" applyAlignment="1">
      <alignment/>
    </xf>
    <xf numFmtId="196" fontId="0" fillId="33" borderId="11" xfId="0" applyNumberFormat="1" applyFont="1" applyFill="1" applyBorder="1" applyAlignment="1">
      <alignment/>
    </xf>
    <xf numFmtId="196" fontId="9" fillId="34" borderId="11" xfId="0" applyNumberFormat="1" applyFont="1" applyFill="1" applyBorder="1" applyAlignment="1">
      <alignment horizontal="center" wrapText="1"/>
    </xf>
    <xf numFmtId="196" fontId="0" fillId="49" borderId="11" xfId="0" applyNumberFormat="1" applyFont="1" applyFill="1" applyBorder="1" applyAlignment="1">
      <alignment/>
    </xf>
    <xf numFmtId="196" fontId="3" fillId="34" borderId="11" xfId="0" applyNumberFormat="1" applyFont="1" applyFill="1" applyBorder="1" applyAlignment="1">
      <alignment/>
    </xf>
    <xf numFmtId="196" fontId="3" fillId="34" borderId="11" xfId="0" applyNumberFormat="1" applyFont="1" applyFill="1" applyBorder="1" applyAlignment="1">
      <alignment horizontal="center" wrapText="1"/>
    </xf>
    <xf numFmtId="196" fontId="3" fillId="34" borderId="11" xfId="0" applyNumberFormat="1" applyFont="1" applyFill="1" applyBorder="1" applyAlignment="1">
      <alignment vertical="center" wrapText="1"/>
    </xf>
    <xf numFmtId="196" fontId="9" fillId="44" borderId="11" xfId="0" applyNumberFormat="1" applyFont="1" applyFill="1" applyBorder="1" applyAlignment="1">
      <alignment horizontal="center" wrapText="1"/>
    </xf>
    <xf numFmtId="196" fontId="3" fillId="49" borderId="11" xfId="0" applyNumberFormat="1" applyFont="1" applyFill="1" applyBorder="1" applyAlignment="1">
      <alignment/>
    </xf>
    <xf numFmtId="196" fontId="3" fillId="33" borderId="11" xfId="0" applyNumberFormat="1" applyFont="1" applyFill="1" applyBorder="1" applyAlignment="1">
      <alignment/>
    </xf>
    <xf numFmtId="196" fontId="9" fillId="33" borderId="11" xfId="0" applyNumberFormat="1" applyFont="1" applyFill="1" applyBorder="1" applyAlignment="1">
      <alignment horizontal="center" wrapText="1"/>
    </xf>
    <xf numFmtId="196" fontId="3" fillId="33" borderId="11" xfId="0" applyNumberFormat="1" applyFont="1" applyFill="1" applyBorder="1" applyAlignment="1">
      <alignment horizontal="center" wrapText="1"/>
    </xf>
    <xf numFmtId="199" fontId="9" fillId="33" borderId="11" xfId="0" applyNumberFormat="1" applyFont="1" applyFill="1" applyBorder="1" applyAlignment="1">
      <alignment horizontal="center" wrapText="1"/>
    </xf>
    <xf numFmtId="196" fontId="3" fillId="33" borderId="11" xfId="0" applyNumberFormat="1" applyFont="1" applyFill="1" applyBorder="1" applyAlignment="1">
      <alignment vertical="center" wrapText="1"/>
    </xf>
    <xf numFmtId="196" fontId="9" fillId="35" borderId="11" xfId="0" applyNumberFormat="1" applyFont="1" applyFill="1" applyBorder="1" applyAlignment="1">
      <alignment horizontal="center" vertical="center" wrapText="1"/>
    </xf>
    <xf numFmtId="198" fontId="0" fillId="33" borderId="11" xfId="0" applyNumberFormat="1" applyFont="1" applyFill="1" applyBorder="1" applyAlignment="1">
      <alignment/>
    </xf>
    <xf numFmtId="198" fontId="0" fillId="34" borderId="11" xfId="0" applyNumberFormat="1" applyFont="1" applyFill="1" applyBorder="1" applyAlignment="1">
      <alignment/>
    </xf>
    <xf numFmtId="0" fontId="0" fillId="0" borderId="11" xfId="0" applyNumberFormat="1" applyBorder="1" applyAlignment="1">
      <alignment/>
    </xf>
    <xf numFmtId="0" fontId="0" fillId="33" borderId="11" xfId="0" applyNumberFormat="1" applyFill="1" applyBorder="1" applyAlignment="1">
      <alignment/>
    </xf>
    <xf numFmtId="198" fontId="9" fillId="34" borderId="11" xfId="0" applyNumberFormat="1" applyFont="1" applyFill="1" applyBorder="1" applyAlignment="1">
      <alignment horizontal="center" wrapText="1"/>
    </xf>
    <xf numFmtId="198" fontId="0" fillId="36" borderId="11" xfId="0" applyNumberFormat="1" applyFont="1" applyFill="1" applyBorder="1" applyAlignment="1">
      <alignment/>
    </xf>
    <xf numFmtId="198" fontId="3" fillId="36" borderId="11" xfId="0" applyNumberFormat="1" applyFont="1" applyFill="1" applyBorder="1" applyAlignment="1">
      <alignment/>
    </xf>
    <xf numFmtId="198" fontId="9" fillId="33" borderId="11" xfId="0" applyNumberFormat="1" applyFont="1" applyFill="1" applyBorder="1" applyAlignment="1">
      <alignment horizontal="center" wrapText="1"/>
    </xf>
    <xf numFmtId="198" fontId="0" fillId="49" borderId="11" xfId="0" applyNumberFormat="1" applyFont="1" applyFill="1" applyBorder="1" applyAlignment="1">
      <alignment/>
    </xf>
    <xf numFmtId="198" fontId="3" fillId="49" borderId="11" xfId="0" applyNumberFormat="1" applyFont="1" applyFill="1" applyBorder="1" applyAlignment="1">
      <alignment/>
    </xf>
    <xf numFmtId="2" fontId="0" fillId="36" borderId="0" xfId="0" applyNumberFormat="1" applyFont="1" applyFill="1" applyBorder="1" applyAlignment="1">
      <alignment/>
    </xf>
    <xf numFmtId="0" fontId="2" fillId="0" borderId="0" xfId="0" applyNumberFormat="1" applyFont="1" applyAlignment="1">
      <alignment horizontal="justify"/>
    </xf>
    <xf numFmtId="0" fontId="13" fillId="0" borderId="0" xfId="0" applyNumberFormat="1" applyFont="1" applyAlignment="1">
      <alignment horizontal="justify"/>
    </xf>
    <xf numFmtId="0" fontId="25" fillId="34" borderId="0" xfId="0" applyNumberFormat="1" applyFont="1" applyFill="1" applyAlignment="1">
      <alignment horizontal="justify" wrapText="1"/>
    </xf>
    <xf numFmtId="196" fontId="8" fillId="33" borderId="0" xfId="0" applyNumberFormat="1" applyFont="1" applyFill="1" applyBorder="1" applyAlignment="1">
      <alignment wrapText="1"/>
    </xf>
    <xf numFmtId="196" fontId="3" fillId="37" borderId="11" xfId="0" applyNumberFormat="1" applyFont="1" applyFill="1" applyBorder="1" applyAlignment="1">
      <alignment/>
    </xf>
    <xf numFmtId="196" fontId="3" fillId="37" borderId="0" xfId="0" applyNumberFormat="1" applyFont="1" applyFill="1" applyBorder="1" applyAlignment="1">
      <alignment/>
    </xf>
    <xf numFmtId="196" fontId="7" fillId="33" borderId="0" xfId="0" applyNumberFormat="1" applyFont="1" applyFill="1" applyBorder="1" applyAlignment="1">
      <alignment wrapText="1"/>
    </xf>
    <xf numFmtId="196" fontId="4" fillId="37" borderId="0" xfId="0" applyNumberFormat="1" applyFont="1" applyFill="1" applyBorder="1" applyAlignment="1">
      <alignment/>
    </xf>
    <xf numFmtId="196" fontId="2" fillId="37" borderId="0" xfId="0" applyNumberFormat="1" applyFont="1" applyFill="1" applyBorder="1" applyAlignment="1">
      <alignment/>
    </xf>
    <xf numFmtId="196" fontId="14" fillId="34" borderId="0" xfId="0" applyNumberFormat="1" applyFont="1" applyFill="1" applyBorder="1" applyAlignment="1">
      <alignment/>
    </xf>
    <xf numFmtId="196" fontId="3" fillId="33" borderId="0" xfId="0" applyNumberFormat="1" applyFont="1" applyFill="1" applyBorder="1" applyAlignment="1">
      <alignment horizontal="right"/>
    </xf>
    <xf numFmtId="199" fontId="9" fillId="35" borderId="11" xfId="0" applyNumberFormat="1" applyFont="1" applyFill="1" applyBorder="1" applyAlignment="1">
      <alignment horizontal="center" wrapText="1"/>
    </xf>
    <xf numFmtId="3" fontId="0" fillId="36" borderId="0" xfId="0" applyNumberFormat="1" applyFont="1" applyFill="1" applyBorder="1" applyAlignment="1">
      <alignment horizontal="right"/>
    </xf>
    <xf numFmtId="3" fontId="3" fillId="36" borderId="0" xfId="0" applyNumberFormat="1" applyFont="1" applyFill="1" applyBorder="1" applyAlignment="1">
      <alignment horizontal="right"/>
    </xf>
    <xf numFmtId="3" fontId="3" fillId="34" borderId="0" xfId="0" applyNumberFormat="1" applyFont="1" applyFill="1" applyBorder="1" applyAlignment="1">
      <alignment horizontal="center" wrapText="1"/>
    </xf>
    <xf numFmtId="185" fontId="0" fillId="36" borderId="0" xfId="0" applyNumberFormat="1" applyFont="1" applyFill="1" applyBorder="1" applyAlignment="1">
      <alignment/>
    </xf>
    <xf numFmtId="185" fontId="3" fillId="36" borderId="0" xfId="0" applyNumberFormat="1" applyFont="1" applyFill="1" applyBorder="1" applyAlignment="1">
      <alignment/>
    </xf>
    <xf numFmtId="3" fontId="0" fillId="34" borderId="0" xfId="0" applyNumberFormat="1" applyFont="1" applyFill="1" applyBorder="1" applyAlignment="1">
      <alignment horizontal="right"/>
    </xf>
    <xf numFmtId="0" fontId="0" fillId="33" borderId="0" xfId="0" applyNumberFormat="1" applyFont="1" applyFill="1" applyBorder="1" applyAlignment="1">
      <alignment wrapText="1"/>
    </xf>
    <xf numFmtId="0" fontId="3" fillId="33" borderId="0" xfId="0" applyNumberFormat="1" applyFont="1" applyFill="1" applyBorder="1" applyAlignment="1">
      <alignment wrapText="1"/>
    </xf>
    <xf numFmtId="0" fontId="3" fillId="33" borderId="0" xfId="0" applyNumberFormat="1" applyFont="1" applyFill="1" applyBorder="1" applyAlignment="1">
      <alignment/>
    </xf>
    <xf numFmtId="3" fontId="3" fillId="33" borderId="0" xfId="0" applyNumberFormat="1" applyFont="1" applyFill="1" applyBorder="1" applyAlignment="1">
      <alignment/>
    </xf>
    <xf numFmtId="190" fontId="2" fillId="33" borderId="0" xfId="0" applyNumberFormat="1" applyFont="1" applyFill="1" applyBorder="1" applyAlignment="1">
      <alignment/>
    </xf>
    <xf numFmtId="190" fontId="0" fillId="33" borderId="0" xfId="0" applyNumberFormat="1" applyFont="1" applyFill="1" applyBorder="1" applyAlignment="1">
      <alignment wrapText="1"/>
    </xf>
    <xf numFmtId="0" fontId="0" fillId="33" borderId="0" xfId="0" applyNumberFormat="1" applyFill="1" applyBorder="1" applyAlignment="1">
      <alignment/>
    </xf>
    <xf numFmtId="202" fontId="0" fillId="33" borderId="0" xfId="0" applyNumberFormat="1" applyFont="1" applyFill="1" applyBorder="1" applyAlignment="1">
      <alignment/>
    </xf>
    <xf numFmtId="202" fontId="2" fillId="33" borderId="0" xfId="0" applyNumberFormat="1" applyFont="1" applyFill="1" applyBorder="1" applyAlignment="1">
      <alignment/>
    </xf>
    <xf numFmtId="202" fontId="2" fillId="33" borderId="10" xfId="0" applyNumberFormat="1" applyFont="1" applyFill="1" applyBorder="1" applyAlignment="1">
      <alignment/>
    </xf>
    <xf numFmtId="37" fontId="2" fillId="33" borderId="0" xfId="0" applyNumberFormat="1" applyFont="1" applyFill="1" applyBorder="1" applyAlignment="1">
      <alignment/>
    </xf>
    <xf numFmtId="202" fontId="0" fillId="33" borderId="12" xfId="0" applyNumberFormat="1" applyFont="1" applyFill="1" applyBorder="1" applyAlignment="1">
      <alignment/>
    </xf>
    <xf numFmtId="202" fontId="9" fillId="33" borderId="0" xfId="0" applyNumberFormat="1" applyFont="1" applyFill="1" applyBorder="1" applyAlignment="1">
      <alignment horizontal="center" wrapText="1"/>
    </xf>
    <xf numFmtId="202" fontId="3" fillId="33" borderId="0" xfId="0" applyNumberFormat="1" applyFont="1" applyFill="1" applyBorder="1" applyAlignment="1">
      <alignment/>
    </xf>
    <xf numFmtId="203" fontId="9" fillId="35" borderId="0" xfId="0" applyFont="1" applyFill="1" applyBorder="1" applyAlignment="1">
      <alignment wrapText="1"/>
    </xf>
    <xf numFmtId="203" fontId="2" fillId="34" borderId="0" xfId="0" applyFont="1" applyFill="1" applyBorder="1" applyAlignment="1">
      <alignment/>
    </xf>
    <xf numFmtId="190" fontId="0" fillId="34" borderId="0" xfId="0" applyNumberFormat="1" applyFont="1" applyFill="1" applyBorder="1" applyAlignment="1">
      <alignment wrapText="1"/>
    </xf>
    <xf numFmtId="202" fontId="9" fillId="33" borderId="11" xfId="0" applyNumberFormat="1" applyFont="1" applyFill="1" applyBorder="1" applyAlignment="1">
      <alignment horizontal="center" wrapText="1"/>
    </xf>
    <xf numFmtId="203" fontId="9" fillId="35" borderId="11" xfId="0" applyFont="1" applyFill="1" applyBorder="1" applyAlignment="1">
      <alignment horizontal="center" wrapText="1"/>
    </xf>
    <xf numFmtId="203" fontId="9" fillId="35" borderId="0" xfId="0" applyFont="1" applyFill="1" applyBorder="1" applyAlignment="1">
      <alignment horizontal="center" wrapText="1"/>
    </xf>
    <xf numFmtId="14" fontId="9" fillId="35" borderId="11" xfId="0" applyNumberFormat="1" applyFont="1" applyFill="1" applyBorder="1" applyAlignment="1">
      <alignment horizontal="center" vertical="center" wrapText="1"/>
    </xf>
    <xf numFmtId="196" fontId="0" fillId="37" borderId="11" xfId="0" applyNumberFormat="1" applyFont="1" applyFill="1" applyBorder="1" applyAlignment="1">
      <alignment/>
    </xf>
    <xf numFmtId="186" fontId="3" fillId="36" borderId="11" xfId="0" applyNumberFormat="1" applyFont="1" applyFill="1" applyBorder="1" applyAlignment="1">
      <alignment/>
    </xf>
    <xf numFmtId="37" fontId="0" fillId="33" borderId="0" xfId="0" applyNumberFormat="1" applyFont="1" applyFill="1" applyBorder="1" applyAlignment="1">
      <alignment horizontal="right"/>
    </xf>
    <xf numFmtId="3" fontId="0" fillId="36" borderId="11" xfId="0" applyNumberFormat="1" applyFont="1" applyFill="1" applyBorder="1" applyAlignment="1">
      <alignment horizontal="right"/>
    </xf>
    <xf numFmtId="3" fontId="3" fillId="36" borderId="11" xfId="0" applyNumberFormat="1" applyFont="1" applyFill="1" applyBorder="1" applyAlignment="1">
      <alignment horizontal="right"/>
    </xf>
    <xf numFmtId="3" fontId="0" fillId="35" borderId="0" xfId="0" applyNumberFormat="1" applyFont="1" applyFill="1" applyBorder="1" applyAlignment="1">
      <alignment horizontal="right"/>
    </xf>
    <xf numFmtId="3" fontId="3" fillId="35" borderId="0" xfId="0" applyNumberFormat="1" applyFont="1" applyFill="1" applyBorder="1" applyAlignment="1">
      <alignment horizontal="right"/>
    </xf>
    <xf numFmtId="3" fontId="0" fillId="36" borderId="11" xfId="0" applyNumberFormat="1" applyFont="1" applyFill="1" applyBorder="1" applyAlignment="1">
      <alignment/>
    </xf>
    <xf numFmtId="3" fontId="3" fillId="36" borderId="11" xfId="0" applyNumberFormat="1" applyFont="1" applyFill="1" applyBorder="1" applyAlignment="1">
      <alignment/>
    </xf>
    <xf numFmtId="200" fontId="0" fillId="36" borderId="0" xfId="0" applyNumberFormat="1" applyFont="1" applyFill="1" applyBorder="1" applyAlignment="1">
      <alignment/>
    </xf>
    <xf numFmtId="200" fontId="0" fillId="35" borderId="0" xfId="0" applyNumberFormat="1" applyFont="1" applyFill="1" applyBorder="1" applyAlignment="1">
      <alignment/>
    </xf>
    <xf numFmtId="3" fontId="0" fillId="34" borderId="11" xfId="0" applyNumberFormat="1" applyFont="1" applyFill="1" applyBorder="1" applyAlignment="1">
      <alignment horizontal="right"/>
    </xf>
    <xf numFmtId="37" fontId="0" fillId="36" borderId="11" xfId="0" applyNumberFormat="1" applyFont="1" applyFill="1" applyBorder="1" applyAlignment="1">
      <alignment/>
    </xf>
    <xf numFmtId="37" fontId="3" fillId="36" borderId="11" xfId="0" applyNumberFormat="1" applyFont="1" applyFill="1" applyBorder="1" applyAlignment="1">
      <alignment/>
    </xf>
    <xf numFmtId="0" fontId="3" fillId="34" borderId="11" xfId="0" applyNumberFormat="1" applyFont="1" applyFill="1" applyBorder="1" applyAlignment="1">
      <alignment horizontal="center" wrapText="1"/>
    </xf>
    <xf numFmtId="3" fontId="0" fillId="38" borderId="11" xfId="0" applyNumberFormat="1" applyFont="1" applyFill="1" applyBorder="1" applyAlignment="1">
      <alignment/>
    </xf>
    <xf numFmtId="0" fontId="3" fillId="34" borderId="11" xfId="0" applyNumberFormat="1" applyFont="1" applyFill="1" applyBorder="1" applyAlignment="1">
      <alignment horizontal="center" vertical="center" wrapText="1"/>
    </xf>
    <xf numFmtId="37" fontId="3" fillId="34" borderId="11" xfId="0" applyNumberFormat="1" applyFont="1" applyFill="1" applyBorder="1" applyAlignment="1">
      <alignment/>
    </xf>
    <xf numFmtId="3" fontId="0" fillId="34" borderId="11" xfId="0" applyNumberFormat="1" applyFont="1" applyFill="1" applyBorder="1" applyAlignment="1">
      <alignment/>
    </xf>
    <xf numFmtId="190" fontId="9" fillId="44" borderId="11" xfId="0" applyNumberFormat="1" applyFont="1" applyFill="1" applyBorder="1" applyAlignment="1">
      <alignment horizontal="center" wrapText="1"/>
    </xf>
    <xf numFmtId="0" fontId="0" fillId="0" borderId="0" xfId="0" applyNumberFormat="1" applyBorder="1" applyAlignment="1">
      <alignment/>
    </xf>
    <xf numFmtId="203" fontId="0" fillId="35" borderId="0" xfId="0" applyFont="1" applyFill="1" applyBorder="1" applyAlignment="1">
      <alignment horizontal="left" wrapText="1" indent="1"/>
    </xf>
    <xf numFmtId="3" fontId="0" fillId="37" borderId="0" xfId="0" applyNumberFormat="1" applyFont="1" applyFill="1" applyBorder="1" applyAlignment="1">
      <alignment horizontal="right"/>
    </xf>
    <xf numFmtId="202" fontId="13" fillId="50" borderId="0" xfId="0" applyNumberFormat="1" applyFont="1" applyFill="1" applyBorder="1" applyAlignment="1">
      <alignment/>
    </xf>
    <xf numFmtId="196" fontId="13" fillId="34" borderId="0" xfId="0" applyNumberFormat="1" applyFont="1" applyFill="1" applyBorder="1" applyAlignment="1">
      <alignment/>
    </xf>
    <xf numFmtId="0" fontId="0" fillId="35" borderId="0" xfId="0" applyNumberFormat="1" applyFont="1" applyFill="1" applyBorder="1" applyAlignment="1" quotePrefix="1">
      <alignment horizontal="left" wrapText="1"/>
    </xf>
    <xf numFmtId="2" fontId="0" fillId="35" borderId="0" xfId="0" applyNumberFormat="1" applyFont="1" applyFill="1" applyBorder="1" applyAlignment="1">
      <alignment wrapText="1"/>
    </xf>
    <xf numFmtId="2" fontId="0" fillId="33" borderId="0" xfId="0" applyNumberFormat="1" applyFont="1" applyFill="1" applyBorder="1" applyAlignment="1">
      <alignment/>
    </xf>
    <xf numFmtId="2" fontId="0" fillId="35" borderId="0" xfId="0" applyNumberFormat="1" applyFont="1" applyFill="1" applyBorder="1" applyAlignment="1">
      <alignment/>
    </xf>
    <xf numFmtId="2" fontId="0" fillId="34" borderId="0" xfId="0" applyNumberFormat="1" applyFont="1" applyFill="1" applyBorder="1" applyAlignment="1">
      <alignment/>
    </xf>
    <xf numFmtId="2" fontId="0" fillId="35" borderId="0" xfId="0" applyNumberFormat="1" applyFont="1" applyFill="1" applyBorder="1" applyAlignment="1">
      <alignment vertical="top" wrapText="1"/>
    </xf>
    <xf numFmtId="202" fontId="0" fillId="35" borderId="0" xfId="0" applyNumberFormat="1" applyFont="1" applyFill="1" applyBorder="1" applyAlignment="1">
      <alignment/>
    </xf>
    <xf numFmtId="202" fontId="3" fillId="35" borderId="0" xfId="0" applyNumberFormat="1" applyFont="1" applyFill="1" applyBorder="1" applyAlignment="1">
      <alignment/>
    </xf>
    <xf numFmtId="190" fontId="18" fillId="36" borderId="0" xfId="0" applyNumberFormat="1" applyFont="1" applyFill="1" applyBorder="1" applyAlignment="1">
      <alignment/>
    </xf>
    <xf numFmtId="190" fontId="18" fillId="34" borderId="10" xfId="0" applyNumberFormat="1" applyFont="1" applyFill="1" applyBorder="1" applyAlignment="1">
      <alignment/>
    </xf>
    <xf numFmtId="186" fontId="18" fillId="34" borderId="0" xfId="0" applyNumberFormat="1" applyFont="1" applyFill="1" applyBorder="1" applyAlignment="1">
      <alignment/>
    </xf>
    <xf numFmtId="190" fontId="9" fillId="34" borderId="0" xfId="0" applyNumberFormat="1" applyFont="1" applyFill="1" applyBorder="1" applyAlignment="1">
      <alignment wrapText="1"/>
    </xf>
    <xf numFmtId="186" fontId="0" fillId="34" borderId="11" xfId="0" applyNumberFormat="1" applyFont="1" applyFill="1" applyBorder="1" applyAlignment="1">
      <alignment/>
    </xf>
    <xf numFmtId="190" fontId="0" fillId="47" borderId="0" xfId="0" applyNumberFormat="1" applyFont="1" applyFill="1" applyBorder="1" applyAlignment="1">
      <alignment/>
    </xf>
    <xf numFmtId="190" fontId="10" fillId="47" borderId="0" xfId="0" applyNumberFormat="1" applyFont="1" applyFill="1" applyBorder="1" applyAlignment="1">
      <alignment/>
    </xf>
    <xf numFmtId="3" fontId="0" fillId="42" borderId="0" xfId="0" applyNumberFormat="1" applyFont="1" applyFill="1" applyBorder="1" applyAlignment="1">
      <alignment horizontal="justify" wrapText="1"/>
    </xf>
    <xf numFmtId="0" fontId="0" fillId="42" borderId="0" xfId="0" applyNumberFormat="1" applyFont="1" applyFill="1" applyBorder="1" applyAlignment="1">
      <alignment horizontal="justify" wrapText="1"/>
    </xf>
    <xf numFmtId="0" fontId="0" fillId="44" borderId="0" xfId="0" applyNumberFormat="1" applyFont="1" applyFill="1" applyBorder="1" applyAlignment="1">
      <alignment horizontal="left" wrapText="1" indent="2"/>
    </xf>
    <xf numFmtId="198" fontId="3" fillId="37" borderId="0" xfId="0" applyNumberFormat="1" applyFont="1" applyFill="1" applyBorder="1" applyAlignment="1">
      <alignment/>
    </xf>
    <xf numFmtId="198" fontId="3" fillId="37" borderId="11" xfId="0" applyNumberFormat="1" applyFont="1" applyFill="1" applyBorder="1" applyAlignment="1">
      <alignment/>
    </xf>
    <xf numFmtId="198" fontId="4" fillId="37" borderId="0" xfId="0" applyNumberFormat="1" applyFont="1" applyFill="1" applyBorder="1" applyAlignment="1">
      <alignment/>
    </xf>
    <xf numFmtId="202" fontId="0" fillId="39" borderId="0" xfId="0" applyNumberFormat="1" applyFont="1" applyFill="1" applyBorder="1" applyAlignment="1">
      <alignment/>
    </xf>
    <xf numFmtId="202" fontId="3" fillId="39" borderId="0" xfId="0" applyNumberFormat="1" applyFont="1" applyFill="1" applyBorder="1" applyAlignment="1">
      <alignment/>
    </xf>
    <xf numFmtId="186" fontId="0" fillId="35" borderId="12" xfId="0" applyNumberFormat="1" applyFont="1" applyFill="1" applyBorder="1" applyAlignment="1">
      <alignment/>
    </xf>
    <xf numFmtId="186" fontId="0" fillId="35" borderId="10" xfId="0" applyNumberFormat="1" applyFont="1" applyFill="1" applyBorder="1" applyAlignment="1">
      <alignment/>
    </xf>
    <xf numFmtId="186" fontId="0" fillId="45" borderId="0" xfId="0" applyNumberFormat="1" applyFont="1" applyFill="1" applyBorder="1" applyAlignment="1">
      <alignment/>
    </xf>
    <xf numFmtId="190" fontId="9" fillId="35" borderId="0" xfId="0" applyNumberFormat="1" applyFont="1" applyFill="1" applyBorder="1" applyAlignment="1" quotePrefix="1">
      <alignment horizontal="center" wrapText="1"/>
    </xf>
    <xf numFmtId="0" fontId="0" fillId="0" borderId="0" xfId="0" applyNumberFormat="1" applyFont="1" applyFill="1" applyBorder="1" applyAlignment="1">
      <alignment/>
    </xf>
    <xf numFmtId="0" fontId="0" fillId="0" borderId="0" xfId="0" applyNumberFormat="1" applyFont="1" applyAlignment="1">
      <alignment/>
    </xf>
    <xf numFmtId="196" fontId="2" fillId="36" borderId="11" xfId="0" applyNumberFormat="1" applyFont="1" applyFill="1" applyBorder="1" applyAlignment="1">
      <alignment/>
    </xf>
    <xf numFmtId="196" fontId="2" fillId="49" borderId="0" xfId="0" applyNumberFormat="1" applyFont="1" applyFill="1" applyBorder="1" applyAlignment="1">
      <alignment/>
    </xf>
    <xf numFmtId="196" fontId="0" fillId="33" borderId="0" xfId="0" applyNumberFormat="1" applyFont="1" applyFill="1" applyBorder="1" applyAlignment="1">
      <alignment wrapText="1"/>
    </xf>
    <xf numFmtId="199" fontId="9" fillId="35" borderId="0" xfId="0" applyNumberFormat="1" applyFont="1" applyFill="1" applyBorder="1" applyAlignment="1" quotePrefix="1">
      <alignment horizontal="center" wrapText="1"/>
    </xf>
    <xf numFmtId="199" fontId="9" fillId="34" borderId="0" xfId="0" applyNumberFormat="1" applyFont="1" applyFill="1" applyBorder="1" applyAlignment="1">
      <alignment horizontal="center" wrapText="1"/>
    </xf>
    <xf numFmtId="0" fontId="1" fillId="0" borderId="13" xfId="0" applyNumberFormat="1" applyFont="1" applyBorder="1" applyAlignment="1">
      <alignment horizontal="right" wrapText="1"/>
    </xf>
    <xf numFmtId="196" fontId="0" fillId="39" borderId="0" xfId="0" applyNumberFormat="1" applyFont="1" applyFill="1" applyBorder="1" applyAlignment="1">
      <alignment horizontal="right"/>
    </xf>
    <xf numFmtId="3" fontId="0" fillId="35" borderId="10" xfId="0" applyNumberFormat="1" applyFont="1" applyFill="1" applyBorder="1" applyAlignment="1">
      <alignment/>
    </xf>
    <xf numFmtId="3" fontId="3" fillId="35" borderId="10" xfId="0" applyNumberFormat="1" applyFont="1" applyFill="1" applyBorder="1" applyAlignment="1">
      <alignment/>
    </xf>
    <xf numFmtId="198" fontId="0" fillId="36" borderId="0" xfId="56" applyNumberFormat="1" applyFont="1" applyFill="1" applyBorder="1">
      <alignment/>
      <protection/>
    </xf>
    <xf numFmtId="2" fontId="0" fillId="36" borderId="0" xfId="56" applyNumberFormat="1" applyFont="1" applyFill="1" applyBorder="1">
      <alignment/>
      <protection/>
    </xf>
    <xf numFmtId="198" fontId="0" fillId="33" borderId="0" xfId="56" applyNumberFormat="1" applyFont="1" applyFill="1" applyBorder="1">
      <alignment/>
      <protection/>
    </xf>
    <xf numFmtId="196" fontId="0" fillId="35" borderId="0" xfId="0" applyNumberFormat="1" applyFont="1" applyFill="1" applyBorder="1" applyAlignment="1">
      <alignment horizontal="left" vertical="top" wrapText="1" indent="3"/>
    </xf>
    <xf numFmtId="196" fontId="0" fillId="35" borderId="0" xfId="0" applyNumberFormat="1" applyFont="1" applyFill="1" applyBorder="1" applyAlignment="1">
      <alignment horizontal="left" vertical="top" wrapText="1" indent="2"/>
    </xf>
    <xf numFmtId="2" fontId="9" fillId="34" borderId="0" xfId="0" applyNumberFormat="1" applyFont="1" applyFill="1" applyBorder="1" applyAlignment="1">
      <alignment horizontal="center" wrapText="1"/>
    </xf>
    <xf numFmtId="2" fontId="3" fillId="34" borderId="0" xfId="0" applyNumberFormat="1" applyFont="1" applyFill="1" applyBorder="1" applyAlignment="1">
      <alignment/>
    </xf>
    <xf numFmtId="190" fontId="9" fillId="35" borderId="0" xfId="0" applyNumberFormat="1" applyFont="1" applyFill="1" applyBorder="1" applyAlignment="1">
      <alignment horizontal="left" wrapText="1"/>
    </xf>
    <xf numFmtId="0" fontId="3" fillId="35" borderId="0" xfId="0" applyNumberFormat="1" applyFont="1" applyFill="1" applyBorder="1" applyAlignment="1">
      <alignment horizontal="left" wrapText="1" indent="1"/>
    </xf>
    <xf numFmtId="202" fontId="0" fillId="47" borderId="0" xfId="0" applyNumberFormat="1" applyFont="1" applyFill="1" applyBorder="1" applyAlignment="1">
      <alignment/>
    </xf>
    <xf numFmtId="3" fontId="13" fillId="34" borderId="0" xfId="0" applyNumberFormat="1" applyFont="1" applyFill="1" applyBorder="1" applyAlignment="1">
      <alignment horizontal="right"/>
    </xf>
    <xf numFmtId="0" fontId="28" fillId="34" borderId="0" xfId="0" applyNumberFormat="1" applyFont="1" applyFill="1" applyBorder="1" applyAlignment="1">
      <alignment horizontal="center" wrapText="1"/>
    </xf>
    <xf numFmtId="0" fontId="13" fillId="34" borderId="0" xfId="0" applyNumberFormat="1" applyFont="1" applyFill="1" applyBorder="1" applyAlignment="1">
      <alignment/>
    </xf>
    <xf numFmtId="3" fontId="28" fillId="34" borderId="0" xfId="0" applyNumberFormat="1" applyFont="1" applyFill="1" applyBorder="1" applyAlignment="1">
      <alignment horizontal="center" wrapText="1"/>
    </xf>
    <xf numFmtId="3" fontId="13" fillId="33" borderId="0" xfId="0" applyNumberFormat="1" applyFont="1" applyFill="1" applyBorder="1" applyAlignment="1">
      <alignment/>
    </xf>
    <xf numFmtId="3" fontId="13" fillId="38" borderId="0" xfId="0" applyNumberFormat="1" applyFont="1" applyFill="1" applyBorder="1" applyAlignment="1">
      <alignment/>
    </xf>
    <xf numFmtId="0" fontId="28" fillId="33" borderId="0" xfId="0" applyNumberFormat="1" applyFont="1" applyFill="1" applyBorder="1" applyAlignment="1">
      <alignment horizontal="center" wrapText="1"/>
    </xf>
    <xf numFmtId="0" fontId="28" fillId="33" borderId="0" xfId="0" applyNumberFormat="1" applyFont="1" applyFill="1" applyBorder="1" applyAlignment="1">
      <alignment horizontal="center" vertical="center" wrapText="1"/>
    </xf>
    <xf numFmtId="3" fontId="28" fillId="33" borderId="0" xfId="0" applyNumberFormat="1" applyFont="1" applyFill="1" applyBorder="1" applyAlignment="1">
      <alignment/>
    </xf>
    <xf numFmtId="37" fontId="13" fillId="33" borderId="0" xfId="0" applyNumberFormat="1" applyFont="1" applyFill="1" applyBorder="1" applyAlignment="1">
      <alignment/>
    </xf>
    <xf numFmtId="37" fontId="28" fillId="34" borderId="0" xfId="0" applyNumberFormat="1" applyFont="1" applyFill="1" applyBorder="1" applyAlignment="1">
      <alignment/>
    </xf>
    <xf numFmtId="3" fontId="13" fillId="34" borderId="0" xfId="0" applyNumberFormat="1" applyFont="1" applyFill="1" applyBorder="1" applyAlignment="1">
      <alignment/>
    </xf>
    <xf numFmtId="190" fontId="28" fillId="33" borderId="0" xfId="0" applyNumberFormat="1" applyFont="1" applyFill="1" applyBorder="1" applyAlignment="1">
      <alignment horizontal="center" wrapText="1"/>
    </xf>
    <xf numFmtId="37" fontId="13" fillId="49" borderId="0" xfId="0" applyNumberFormat="1" applyFont="1" applyFill="1" applyBorder="1" applyAlignment="1">
      <alignment/>
    </xf>
    <xf numFmtId="37" fontId="28" fillId="49" borderId="0" xfId="0" applyNumberFormat="1" applyFont="1" applyFill="1" applyBorder="1" applyAlignment="1">
      <alignment/>
    </xf>
    <xf numFmtId="0" fontId="13" fillId="33" borderId="0" xfId="0" applyNumberFormat="1" applyFont="1" applyFill="1" applyBorder="1" applyAlignment="1">
      <alignment/>
    </xf>
    <xf numFmtId="37" fontId="28" fillId="33" borderId="0" xfId="0" applyNumberFormat="1" applyFont="1" applyFill="1" applyBorder="1" applyAlignment="1">
      <alignment/>
    </xf>
    <xf numFmtId="190" fontId="13" fillId="49" borderId="0" xfId="0" applyNumberFormat="1" applyFont="1" applyFill="1" applyBorder="1" applyAlignment="1">
      <alignment/>
    </xf>
    <xf numFmtId="190" fontId="28" fillId="49" borderId="0" xfId="0" applyNumberFormat="1" applyFont="1" applyFill="1" applyBorder="1" applyAlignment="1">
      <alignment/>
    </xf>
    <xf numFmtId="0" fontId="9" fillId="35" borderId="0" xfId="0" applyNumberFormat="1" applyFont="1" applyFill="1" applyBorder="1" applyAlignment="1">
      <alignment horizontal="center" wrapText="1"/>
    </xf>
    <xf numFmtId="196" fontId="28" fillId="37" borderId="0" xfId="0" applyNumberFormat="1" applyFont="1" applyFill="1" applyBorder="1" applyAlignment="1">
      <alignment/>
    </xf>
    <xf numFmtId="196" fontId="0" fillId="35" borderId="0" xfId="0" applyNumberFormat="1" applyFont="1" applyFill="1" applyBorder="1" applyAlignment="1">
      <alignment vertical="top" wrapText="1"/>
    </xf>
    <xf numFmtId="196" fontId="0" fillId="36" borderId="0" xfId="56" applyNumberFormat="1" applyFont="1" applyFill="1" applyBorder="1">
      <alignment/>
      <protection/>
    </xf>
    <xf numFmtId="11" fontId="0" fillId="35" borderId="0" xfId="0" applyNumberFormat="1" applyFont="1" applyFill="1" applyBorder="1" applyAlignment="1">
      <alignment wrapText="1"/>
    </xf>
    <xf numFmtId="37" fontId="2" fillId="36" borderId="0" xfId="0" applyNumberFormat="1" applyFont="1" applyFill="1" applyBorder="1" applyAlignment="1">
      <alignment/>
    </xf>
    <xf numFmtId="3" fontId="3" fillId="35" borderId="0" xfId="0" applyNumberFormat="1" applyFont="1" applyFill="1" applyBorder="1" applyAlignment="1">
      <alignment/>
    </xf>
    <xf numFmtId="3" fontId="2" fillId="35" borderId="0" xfId="0" applyNumberFormat="1" applyFont="1" applyFill="1" applyBorder="1" applyAlignment="1">
      <alignment/>
    </xf>
    <xf numFmtId="205" fontId="0" fillId="36" borderId="0" xfId="0" applyNumberFormat="1" applyFont="1" applyFill="1" applyBorder="1" applyAlignment="1">
      <alignment/>
    </xf>
    <xf numFmtId="205" fontId="0" fillId="36" borderId="0" xfId="0" applyNumberFormat="1" applyFont="1" applyFill="1" applyBorder="1" applyAlignment="1">
      <alignment horizontal="right"/>
    </xf>
    <xf numFmtId="205" fontId="0" fillId="33" borderId="0" xfId="0" applyNumberFormat="1" applyFont="1" applyFill="1" applyBorder="1" applyAlignment="1">
      <alignment/>
    </xf>
    <xf numFmtId="202" fontId="29" fillId="0" borderId="0" xfId="0" applyNumberFormat="1" applyFont="1" applyFill="1" applyAlignment="1" applyProtection="1">
      <alignment horizontal="right" vertical="center"/>
      <protection/>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33"/>
  <sheetViews>
    <sheetView tabSelected="1" zoomScale="115" zoomScaleNormal="115" zoomScalePageLayoutView="0" workbookViewId="0" topLeftCell="A1">
      <selection activeCell="B2" sqref="B2"/>
    </sheetView>
  </sheetViews>
  <sheetFormatPr defaultColWidth="0" defaultRowHeight="12.75" zeroHeight="1"/>
  <cols>
    <col min="1" max="1" width="9.140625" style="171" customWidth="1"/>
    <col min="2" max="2" width="82.28125" style="171" customWidth="1"/>
    <col min="3" max="3" width="9.140625" style="171" customWidth="1"/>
    <col min="4" max="16384" width="0" style="171" hidden="1" customWidth="1"/>
  </cols>
  <sheetData>
    <row r="1" ht="12.75"/>
    <row r="2" ht="12.75">
      <c r="B2" s="172" t="s">
        <v>340</v>
      </c>
    </row>
    <row r="3" ht="12.75">
      <c r="B3" s="173" t="s">
        <v>224</v>
      </c>
    </row>
    <row r="4" ht="12.75">
      <c r="B4" s="173" t="s">
        <v>341</v>
      </c>
    </row>
    <row r="5" ht="12.75">
      <c r="B5" s="173" t="s">
        <v>225</v>
      </c>
    </row>
    <row r="6" ht="12.75">
      <c r="B6" s="173" t="s">
        <v>342</v>
      </c>
    </row>
    <row r="7" ht="12.75">
      <c r="B7" s="173" t="s">
        <v>220</v>
      </c>
    </row>
    <row r="8" ht="12.75">
      <c r="B8" s="173" t="s">
        <v>343</v>
      </c>
    </row>
    <row r="9" ht="12.75">
      <c r="B9" s="173" t="s">
        <v>345</v>
      </c>
    </row>
    <row r="10" ht="12.75">
      <c r="B10" s="173" t="s">
        <v>346</v>
      </c>
    </row>
    <row r="11" ht="12.75">
      <c r="B11" s="173" t="s">
        <v>221</v>
      </c>
    </row>
    <row r="12" ht="12.75">
      <c r="B12" s="173" t="s">
        <v>347</v>
      </c>
    </row>
    <row r="13" ht="12.75">
      <c r="B13" s="173" t="s">
        <v>348</v>
      </c>
    </row>
    <row r="14" ht="12.75">
      <c r="B14" s="173" t="s">
        <v>349</v>
      </c>
    </row>
    <row r="15" ht="12.75">
      <c r="B15" s="173" t="s">
        <v>222</v>
      </c>
    </row>
    <row r="16" ht="12.75">
      <c r="B16" s="173" t="s">
        <v>350</v>
      </c>
    </row>
    <row r="17" ht="12.75">
      <c r="B17" s="173" t="s">
        <v>223</v>
      </c>
    </row>
    <row r="18" ht="12.75">
      <c r="B18" s="173" t="s">
        <v>351</v>
      </c>
    </row>
    <row r="19" ht="12.75">
      <c r="B19" s="173" t="s">
        <v>80</v>
      </c>
    </row>
    <row r="20" ht="12.75">
      <c r="B20" s="173" t="s">
        <v>111</v>
      </c>
    </row>
    <row r="21" ht="12.75">
      <c r="B21" s="173" t="s">
        <v>145</v>
      </c>
    </row>
    <row r="22" ht="12.75">
      <c r="B22" s="173" t="s">
        <v>191</v>
      </c>
    </row>
    <row r="23" ht="12.75">
      <c r="B23" s="173" t="s">
        <v>356</v>
      </c>
    </row>
    <row r="24" ht="12.75">
      <c r="B24" s="173" t="s">
        <v>207</v>
      </c>
    </row>
    <row r="25" ht="12.75">
      <c r="B25" s="173" t="s">
        <v>357</v>
      </c>
    </row>
    <row r="26" ht="12.75">
      <c r="B26" s="173" t="s">
        <v>358</v>
      </c>
    </row>
    <row r="27" ht="12.75">
      <c r="B27" s="173" t="s">
        <v>359</v>
      </c>
    </row>
    <row r="28" ht="12.75">
      <c r="B28" s="173" t="s">
        <v>360</v>
      </c>
    </row>
    <row r="29" ht="12.75">
      <c r="B29" s="173" t="s">
        <v>361</v>
      </c>
    </row>
    <row r="30" ht="12.75">
      <c r="B30" s="173" t="s">
        <v>354</v>
      </c>
    </row>
    <row r="31" ht="12.75">
      <c r="B31" s="173" t="s">
        <v>355</v>
      </c>
    </row>
    <row r="32" ht="12.75">
      <c r="B32" s="173" t="s">
        <v>353</v>
      </c>
    </row>
    <row r="33" ht="12.75">
      <c r="B33" s="173" t="s">
        <v>352</v>
      </c>
    </row>
    <row r="34" ht="12.75"/>
  </sheetData>
  <sheetProtection/>
  <hyperlinks>
    <hyperlink ref="B3" location="'Financial highlights - HUF bn'!A1" display="MOL Group IFRS results (in HUF bn)"/>
    <hyperlink ref="B4" location="'Financial highlights - HUF bn'!A13" display="MOL Group IFRS results (in HUF bn) - excl. INA"/>
    <hyperlink ref="B5" location="'Financial highlights - USD mn'!A1" display="MOL Group IFRS results (in USD mn)"/>
    <hyperlink ref="B6" location="'Financial highlights - USD mn'!A15" display="MOL Group IFRS results (in USD mn) - excl. INA"/>
    <hyperlink ref="B7" location="'E&amp;P financial results'!A1" display="Exploration &amp; Production segment IFRS results (in HUF bn)"/>
    <hyperlink ref="B8" location="'E&amp;P financial results'!A12" display="Exploration &amp; Production segment IFRS results (in HUF bn) - excl. INA"/>
    <hyperlink ref="B9" location="'E&amp;P operational data'!A1" display="Exploration &amp; Production - operational data"/>
    <hyperlink ref="B10" location="'E&amp;P operational data'!A21" display="Exploration &amp; Production - operational data - excl. INA"/>
    <hyperlink ref="B11" location="'R&amp;M financial results'!A1" display="Refining &amp; Marketing segment IFRS results (in HUF bn)"/>
    <hyperlink ref="B12" location="'R&amp;M financial results'!A23" display="Refining &amp; Marketing segment IFRS results (in HUF bn) - excl. INA"/>
    <hyperlink ref="B13" location="'R&amp;M operational data'!A1" display="Refining &amp; Marketing - operational data"/>
    <hyperlink ref="B14" location="'R&amp;M operational data'!A61" display="Refining &amp; Marketing - operational data - excl. INA"/>
    <hyperlink ref="B15" location="'Petchem financial results'!A1" display="Petrochemical segment IFRS results (in HUF bn)"/>
    <hyperlink ref="B16" location="'Petchem operational data'!A1" display="Petrochemical segment - operational data"/>
    <hyperlink ref="B17" location="'Gas financial results'!A1" display="Gas segment IFRS results (in HUF bn)"/>
    <hyperlink ref="B18" location="'Gas operational data'!A1" display="Gas segment - operational data"/>
    <hyperlink ref="B19" location="'Profit and loss'!A1" display="Consolidated statements of operations for the MOL Group (IFRS)"/>
    <hyperlink ref="B20" location="'Balance sheet'!A1" display="Consolidated balance sheet for the MOL Group (IFRS)"/>
    <hyperlink ref="B21" location="'Cash flow'!A1" display="Consolidated statements of cash flows for the MOL Group (IFRS)"/>
    <hyperlink ref="B22" location="'Segment tables - HUF mn'!A1" display="KEY IFRS FINANCIAL DATA BY BUSINESS SEGMENT (in HUF million)"/>
    <hyperlink ref="B23" location="'Segment tables - HUF mn'!A77" display="KEY IFRS FINANCIAL DATA BY BUSINESS SEGMENT (in HUF million) - excl. INA"/>
    <hyperlink ref="B24" location="'Segment tables - USD mn'!A1" display="KEY IFRS FINANCIAL DATA BY BUSINESS SEGMENT (in USD million)"/>
    <hyperlink ref="B25" location="'Segment tables - USD mn'!A79" display="KEY IFRS FINANCIAL DATA BY BUSINESS SEGMENT (in USD million) - excl. INA"/>
    <hyperlink ref="B26" location="'Spec items - HUF mn'!A1" display="OPERATING PROFIT &amp; EBITDA EXCLUDING SPECIAL ITEMS (in HUF million)"/>
    <hyperlink ref="B27" location="'Spec items - HUF mn'!A24" display="OPERATING PROFIT &amp; EBITDA EXCLUDING SPECIAL ITEMS (in HUF million) - excl. INA"/>
    <hyperlink ref="B28" location="'Spec items - USD mn'!A1" display="OPERATING PROFIT &amp; EBITDA EXCLUDING SPECIAL ITEMS (in USD million)"/>
    <hyperlink ref="B29" location="'Spec items - USD mn'!A24" display="OPERATING PROFIT &amp; EBITDA EXCLUDING SPECIAL ITEMS (in USD million) - excl. INA"/>
    <hyperlink ref="B30" location="'CAPEX - HUF bn'!A1" display="CAPITAL EXPENDITURES (HUF bn)"/>
    <hyperlink ref="B31" location="'CAPEX - HUF bn'!A12" display="CAPITAL EXPENDITURES (HUF bn) - excl. INA"/>
    <hyperlink ref="B32" location="'External parameters'!A1" display="External parameters"/>
    <hyperlink ref="B33" location="'Shareholder structure'!A1" display="Shareholder structure"/>
  </hyperlinks>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2:CF24"/>
  <sheetViews>
    <sheetView zoomScalePageLayoutView="0" workbookViewId="0" topLeftCell="A1">
      <pane xSplit="1" ySplit="2" topLeftCell="AG3" activePane="bottomRight" state="frozen"/>
      <selection pane="topLeft" activeCell="V51" sqref="V51"/>
      <selection pane="topRight" activeCell="V51" sqref="V51"/>
      <selection pane="bottomLeft" activeCell="V51" sqref="V51"/>
      <selection pane="bottomRight" activeCell="A2" sqref="A2"/>
    </sheetView>
  </sheetViews>
  <sheetFormatPr defaultColWidth="9.140625" defaultRowHeight="12.75" zeroHeight="1" outlineLevelCol="1"/>
  <cols>
    <col min="1" max="1" width="39.140625" style="23" customWidth="1"/>
    <col min="2" max="6" width="9.140625" style="23" hidden="1" customWidth="1" outlineLevel="1"/>
    <col min="7" max="7" width="0" style="23" hidden="1" customWidth="1" collapsed="1"/>
    <col min="8" max="26" width="0" style="23" hidden="1" customWidth="1"/>
    <col min="27" max="28" width="9.140625" style="23" customWidth="1"/>
    <col min="29" max="30" width="9.28125" style="23" bestFit="1" customWidth="1"/>
    <col min="31" max="31" width="9.8515625" style="23" bestFit="1" customWidth="1"/>
    <col min="32" max="34" width="9.28125" style="23" bestFit="1" customWidth="1"/>
    <col min="35" max="35" width="9.140625" style="23" customWidth="1"/>
    <col min="36" max="36" width="11.28125" style="23" customWidth="1"/>
    <col min="37" max="41" width="11.57421875" style="23" customWidth="1"/>
    <col min="42" max="42" width="13.140625" style="23" customWidth="1"/>
    <col min="43" max="44" width="9.140625" style="23" customWidth="1"/>
    <col min="45" max="84" width="9.140625" style="471" customWidth="1"/>
    <col min="85" max="16384" width="9.140625" style="23" customWidth="1"/>
  </cols>
  <sheetData>
    <row r="1" ht="12.75"/>
    <row r="2" spans="1:52" ht="12.75">
      <c r="A2" s="30" t="s">
        <v>382</v>
      </c>
      <c r="B2" s="7" t="s">
        <v>22</v>
      </c>
      <c r="C2" s="7" t="s">
        <v>23</v>
      </c>
      <c r="D2" s="7" t="s">
        <v>24</v>
      </c>
      <c r="E2" s="6" t="s">
        <v>25</v>
      </c>
      <c r="F2" s="6" t="s">
        <v>26</v>
      </c>
      <c r="G2" s="7" t="s">
        <v>27</v>
      </c>
      <c r="H2" s="7" t="s">
        <v>28</v>
      </c>
      <c r="I2" s="7" t="s">
        <v>29</v>
      </c>
      <c r="J2" s="6" t="s">
        <v>30</v>
      </c>
      <c r="K2" s="6" t="s">
        <v>31</v>
      </c>
      <c r="L2" s="7" t="s">
        <v>32</v>
      </c>
      <c r="M2" s="7" t="s">
        <v>33</v>
      </c>
      <c r="N2" s="7" t="s">
        <v>34</v>
      </c>
      <c r="O2" s="6" t="s">
        <v>271</v>
      </c>
      <c r="P2" s="6" t="s">
        <v>272</v>
      </c>
      <c r="Q2" s="7" t="s">
        <v>274</v>
      </c>
      <c r="R2" s="7" t="s">
        <v>276</v>
      </c>
      <c r="S2" s="7" t="s">
        <v>278</v>
      </c>
      <c r="T2" s="6" t="s">
        <v>280</v>
      </c>
      <c r="U2" s="6" t="s">
        <v>281</v>
      </c>
      <c r="V2" s="7" t="s">
        <v>289</v>
      </c>
      <c r="W2" s="7" t="s">
        <v>290</v>
      </c>
      <c r="X2" s="7" t="s">
        <v>291</v>
      </c>
      <c r="Y2" s="6" t="s">
        <v>292</v>
      </c>
      <c r="Z2" s="6" t="s">
        <v>293</v>
      </c>
      <c r="AA2" s="7" t="s">
        <v>329</v>
      </c>
      <c r="AB2" s="7" t="s">
        <v>330</v>
      </c>
      <c r="AC2" s="7" t="s">
        <v>331</v>
      </c>
      <c r="AD2" s="6" t="s">
        <v>332</v>
      </c>
      <c r="AE2" s="6" t="s">
        <v>333</v>
      </c>
      <c r="AF2" s="7" t="s">
        <v>448</v>
      </c>
      <c r="AG2" s="7" t="s">
        <v>451</v>
      </c>
      <c r="AH2" s="7" t="s">
        <v>453</v>
      </c>
      <c r="AI2" s="7" t="s">
        <v>454</v>
      </c>
      <c r="AJ2" s="6" t="s">
        <v>457</v>
      </c>
      <c r="AK2" s="7" t="s">
        <v>495</v>
      </c>
      <c r="AL2" s="7" t="s">
        <v>554</v>
      </c>
      <c r="AM2" s="7" t="s">
        <v>561</v>
      </c>
      <c r="AN2" s="7" t="s">
        <v>570</v>
      </c>
      <c r="AO2" s="7" t="s">
        <v>574</v>
      </c>
      <c r="AP2" s="7" t="s">
        <v>595</v>
      </c>
      <c r="AQ2" s="7" t="s">
        <v>605</v>
      </c>
      <c r="AR2" s="7" t="s">
        <v>617</v>
      </c>
      <c r="AS2" s="510"/>
      <c r="AT2" s="510"/>
      <c r="AU2" s="510"/>
      <c r="AV2" s="510"/>
      <c r="AW2" s="510"/>
      <c r="AX2" s="510"/>
      <c r="AY2" s="510"/>
      <c r="AZ2" s="510"/>
    </row>
    <row r="3" spans="1:44" ht="12.75" customHeight="1">
      <c r="A3" s="210"/>
      <c r="B3" s="37"/>
      <c r="C3" s="37"/>
      <c r="D3" s="37"/>
      <c r="E3" s="38"/>
      <c r="F3" s="38"/>
      <c r="G3" s="37"/>
      <c r="H3" s="37"/>
      <c r="I3" s="37"/>
      <c r="J3" s="38"/>
      <c r="K3" s="38"/>
      <c r="L3" s="37"/>
      <c r="M3" s="37"/>
      <c r="N3" s="37"/>
      <c r="O3" s="38"/>
      <c r="P3" s="38"/>
      <c r="Q3" s="37"/>
      <c r="R3" s="37"/>
      <c r="S3" s="37"/>
      <c r="T3" s="38"/>
      <c r="U3" s="38"/>
      <c r="V3" s="37"/>
      <c r="W3" s="37"/>
      <c r="X3" s="37"/>
      <c r="Y3" s="38"/>
      <c r="Z3" s="38"/>
      <c r="AA3" s="37"/>
      <c r="AB3" s="37"/>
      <c r="AC3" s="37"/>
      <c r="AD3" s="38"/>
      <c r="AE3" s="38"/>
      <c r="AF3" s="37"/>
      <c r="AG3" s="37"/>
      <c r="AH3" s="37"/>
      <c r="AI3" s="37"/>
      <c r="AJ3" s="38"/>
      <c r="AK3" s="37"/>
      <c r="AL3" s="37"/>
      <c r="AM3" s="37"/>
      <c r="AN3" s="37"/>
      <c r="AO3" s="37"/>
      <c r="AP3" s="37"/>
      <c r="AQ3" s="37"/>
      <c r="AR3" s="37"/>
    </row>
    <row r="4" spans="1:44" ht="12.75">
      <c r="A4" s="31" t="s">
        <v>78</v>
      </c>
      <c r="B4" s="59">
        <v>5658</v>
      </c>
      <c r="C4" s="59">
        <v>3565</v>
      </c>
      <c r="D4" s="59">
        <v>3348</v>
      </c>
      <c r="E4" s="59">
        <v>4433</v>
      </c>
      <c r="F4" s="86">
        <v>17004</v>
      </c>
      <c r="G4" s="59">
        <v>5816</v>
      </c>
      <c r="H4" s="59">
        <v>3687</v>
      </c>
      <c r="I4" s="59">
        <v>3541</v>
      </c>
      <c r="J4" s="59">
        <v>4670</v>
      </c>
      <c r="K4" s="86">
        <v>17714</v>
      </c>
      <c r="L4" s="59">
        <v>5818</v>
      </c>
      <c r="M4" s="59">
        <v>3686</v>
      </c>
      <c r="N4" s="59">
        <v>3647</v>
      </c>
      <c r="O4" s="59">
        <v>4127</v>
      </c>
      <c r="P4" s="86">
        <v>17278</v>
      </c>
      <c r="Q4" s="59">
        <v>4391</v>
      </c>
      <c r="R4" s="59">
        <v>3024</v>
      </c>
      <c r="S4" s="59">
        <v>2752</v>
      </c>
      <c r="T4" s="59">
        <v>4794</v>
      </c>
      <c r="U4" s="86">
        <v>14961</v>
      </c>
      <c r="V4" s="59">
        <v>4860</v>
      </c>
      <c r="W4" s="59">
        <v>3591</v>
      </c>
      <c r="X4" s="59">
        <v>2862</v>
      </c>
      <c r="Y4" s="59">
        <v>3827</v>
      </c>
      <c r="Z4" s="86">
        <v>15140</v>
      </c>
      <c r="AA4" s="59">
        <v>4466</v>
      </c>
      <c r="AB4" s="59">
        <v>2085</v>
      </c>
      <c r="AC4" s="59">
        <v>3557</v>
      </c>
      <c r="AD4" s="232">
        <v>4805</v>
      </c>
      <c r="AE4" s="488">
        <v>14913</v>
      </c>
      <c r="AF4" s="232">
        <v>5006</v>
      </c>
      <c r="AG4" s="228">
        <v>2649</v>
      </c>
      <c r="AH4" s="228">
        <v>2488</v>
      </c>
      <c r="AI4" s="228">
        <v>3690</v>
      </c>
      <c r="AJ4" s="488">
        <v>13833</v>
      </c>
      <c r="AK4" s="228">
        <v>4550</v>
      </c>
      <c r="AL4" s="228">
        <v>2497</v>
      </c>
      <c r="AM4" s="228">
        <v>1946</v>
      </c>
      <c r="AN4" s="228">
        <v>3500</v>
      </c>
      <c r="AO4" s="488">
        <v>12492</v>
      </c>
      <c r="AP4" s="228">
        <v>4184</v>
      </c>
      <c r="AQ4" s="228">
        <v>25560</v>
      </c>
      <c r="AR4" s="514"/>
    </row>
    <row r="5" spans="1:84" s="24" customFormat="1" ht="12.75">
      <c r="A5" s="29" t="s">
        <v>76</v>
      </c>
      <c r="B5" s="60">
        <v>908</v>
      </c>
      <c r="C5" s="60">
        <v>401</v>
      </c>
      <c r="D5" s="60">
        <v>379</v>
      </c>
      <c r="E5" s="60">
        <v>838</v>
      </c>
      <c r="F5" s="87">
        <v>2526</v>
      </c>
      <c r="G5" s="60">
        <v>898</v>
      </c>
      <c r="H5" s="60">
        <v>417</v>
      </c>
      <c r="I5" s="60">
        <v>351</v>
      </c>
      <c r="J5" s="60">
        <v>904</v>
      </c>
      <c r="K5" s="87">
        <v>2570</v>
      </c>
      <c r="L5" s="60">
        <v>895</v>
      </c>
      <c r="M5" s="60">
        <v>348</v>
      </c>
      <c r="N5" s="60">
        <v>320</v>
      </c>
      <c r="O5" s="60">
        <v>823</v>
      </c>
      <c r="P5" s="87">
        <v>2386</v>
      </c>
      <c r="Q5" s="60">
        <v>694</v>
      </c>
      <c r="R5" s="60">
        <v>404</v>
      </c>
      <c r="S5" s="60">
        <v>376</v>
      </c>
      <c r="T5" s="60">
        <v>916</v>
      </c>
      <c r="U5" s="87">
        <v>2390</v>
      </c>
      <c r="V5" s="60">
        <v>903</v>
      </c>
      <c r="W5" s="60">
        <v>426</v>
      </c>
      <c r="X5" s="60">
        <v>404</v>
      </c>
      <c r="Y5" s="60">
        <v>694</v>
      </c>
      <c r="Z5" s="87">
        <v>2427</v>
      </c>
      <c r="AA5" s="60">
        <v>601</v>
      </c>
      <c r="AB5" s="60">
        <v>172</v>
      </c>
      <c r="AC5" s="60">
        <v>285</v>
      </c>
      <c r="AD5" s="237">
        <v>710</v>
      </c>
      <c r="AE5" s="489">
        <v>1768</v>
      </c>
      <c r="AF5" s="237">
        <v>840</v>
      </c>
      <c r="AG5" s="229">
        <v>390</v>
      </c>
      <c r="AH5" s="229">
        <v>259</v>
      </c>
      <c r="AI5" s="229">
        <v>712</v>
      </c>
      <c r="AJ5" s="489">
        <v>2201</v>
      </c>
      <c r="AK5" s="228">
        <v>903</v>
      </c>
      <c r="AL5" s="228">
        <v>345</v>
      </c>
      <c r="AM5" s="228">
        <v>340</v>
      </c>
      <c r="AN5" s="228">
        <v>1173</v>
      </c>
      <c r="AO5" s="488">
        <v>2761</v>
      </c>
      <c r="AP5" s="228">
        <v>1065</v>
      </c>
      <c r="AQ5" s="228">
        <v>498</v>
      </c>
      <c r="AR5" s="514"/>
      <c r="AS5" s="511"/>
      <c r="AT5" s="511"/>
      <c r="AU5" s="511"/>
      <c r="AV5" s="511"/>
      <c r="AW5" s="511"/>
      <c r="AX5" s="511"/>
      <c r="AY5" s="511"/>
      <c r="AZ5" s="511"/>
      <c r="BA5" s="511"/>
      <c r="BB5" s="511"/>
      <c r="BC5" s="511"/>
      <c r="BD5" s="511"/>
      <c r="BE5" s="511"/>
      <c r="BF5" s="511"/>
      <c r="BG5" s="511"/>
      <c r="BH5" s="511"/>
      <c r="BI5" s="511"/>
      <c r="BJ5" s="511"/>
      <c r="BK5" s="511"/>
      <c r="BL5" s="511"/>
      <c r="BM5" s="511"/>
      <c r="BN5" s="511"/>
      <c r="BO5" s="511"/>
      <c r="BP5" s="511"/>
      <c r="BQ5" s="511"/>
      <c r="BR5" s="511"/>
      <c r="BS5" s="511"/>
      <c r="BT5" s="511"/>
      <c r="BU5" s="511"/>
      <c r="BV5" s="511"/>
      <c r="BW5" s="511"/>
      <c r="BX5" s="511"/>
      <c r="BY5" s="511"/>
      <c r="BZ5" s="511"/>
      <c r="CA5" s="511"/>
      <c r="CB5" s="511"/>
      <c r="CC5" s="511"/>
      <c r="CD5" s="511"/>
      <c r="CE5" s="511"/>
      <c r="CF5" s="511"/>
    </row>
    <row r="6" spans="1:44" ht="12.75" customHeight="1">
      <c r="A6" s="33"/>
      <c r="B6" s="15"/>
      <c r="F6" s="34"/>
      <c r="G6" s="15"/>
      <c r="K6" s="34"/>
      <c r="L6" s="15"/>
      <c r="P6" s="34"/>
      <c r="Q6" s="15"/>
      <c r="U6" s="34"/>
      <c r="V6" s="15"/>
      <c r="Z6" s="34"/>
      <c r="AA6" s="15"/>
      <c r="AE6" s="34"/>
      <c r="AF6" s="15"/>
      <c r="AG6" s="15"/>
      <c r="AH6" s="15"/>
      <c r="AI6" s="15"/>
      <c r="AJ6" s="34"/>
      <c r="AK6" s="15"/>
      <c r="AL6" s="15"/>
      <c r="AM6" s="15"/>
      <c r="AN6" s="15"/>
      <c r="AO6" s="15"/>
      <c r="AP6" s="15"/>
      <c r="AQ6" s="15"/>
      <c r="AR6" s="15"/>
    </row>
    <row r="7" spans="1:44" ht="12.75" customHeight="1">
      <c r="A7" s="33"/>
      <c r="B7" s="15"/>
      <c r="F7" s="34"/>
      <c r="G7" s="15"/>
      <c r="K7" s="34"/>
      <c r="L7" s="15"/>
      <c r="P7" s="34"/>
      <c r="Q7" s="15"/>
      <c r="U7" s="34"/>
      <c r="V7" s="15"/>
      <c r="Z7" s="34"/>
      <c r="AA7" s="15"/>
      <c r="AE7" s="34"/>
      <c r="AF7" s="15"/>
      <c r="AG7" s="15"/>
      <c r="AH7" s="15"/>
      <c r="AI7" s="15"/>
      <c r="AJ7" s="34"/>
      <c r="AK7" s="15"/>
      <c r="AL7" s="15"/>
      <c r="AM7" s="15"/>
      <c r="AN7" s="15"/>
      <c r="AO7" s="15"/>
      <c r="AP7" s="15"/>
      <c r="AQ7" s="15"/>
      <c r="AR7" s="15"/>
    </row>
    <row r="8" spans="1:44" ht="12.75">
      <c r="A8" s="30" t="s">
        <v>381</v>
      </c>
      <c r="B8" s="7" t="s">
        <v>22</v>
      </c>
      <c r="C8" s="7" t="s">
        <v>23</v>
      </c>
      <c r="D8" s="7" t="s">
        <v>24</v>
      </c>
      <c r="E8" s="6" t="s">
        <v>25</v>
      </c>
      <c r="F8" s="6" t="s">
        <v>26</v>
      </c>
      <c r="G8" s="7" t="s">
        <v>27</v>
      </c>
      <c r="H8" s="7" t="s">
        <v>28</v>
      </c>
      <c r="I8" s="7" t="s">
        <v>29</v>
      </c>
      <c r="J8" s="6" t="s">
        <v>30</v>
      </c>
      <c r="K8" s="6" t="s">
        <v>31</v>
      </c>
      <c r="L8" s="7" t="s">
        <v>32</v>
      </c>
      <c r="M8" s="7" t="s">
        <v>33</v>
      </c>
      <c r="N8" s="7" t="s">
        <v>34</v>
      </c>
      <c r="O8" s="6" t="s">
        <v>271</v>
      </c>
      <c r="P8" s="6" t="s">
        <v>272</v>
      </c>
      <c r="Q8" s="7" t="s">
        <v>274</v>
      </c>
      <c r="R8" s="7" t="s">
        <v>276</v>
      </c>
      <c r="S8" s="7" t="s">
        <v>278</v>
      </c>
      <c r="T8" s="6" t="s">
        <v>280</v>
      </c>
      <c r="U8" s="6" t="s">
        <v>281</v>
      </c>
      <c r="V8" s="7" t="s">
        <v>289</v>
      </c>
      <c r="W8" s="7" t="s">
        <v>290</v>
      </c>
      <c r="X8" s="7" t="s">
        <v>291</v>
      </c>
      <c r="Y8" s="6" t="s">
        <v>292</v>
      </c>
      <c r="Z8" s="6" t="s">
        <v>293</v>
      </c>
      <c r="AA8" s="7" t="s">
        <v>329</v>
      </c>
      <c r="AB8" s="7" t="s">
        <v>330</v>
      </c>
      <c r="AC8" s="7" t="s">
        <v>331</v>
      </c>
      <c r="AD8" s="6" t="s">
        <v>332</v>
      </c>
      <c r="AE8" s="6" t="s">
        <v>333</v>
      </c>
      <c r="AF8" s="7" t="s">
        <v>448</v>
      </c>
      <c r="AG8" s="7" t="s">
        <v>451</v>
      </c>
      <c r="AH8" s="7" t="s">
        <v>453</v>
      </c>
      <c r="AI8" s="7" t="s">
        <v>454</v>
      </c>
      <c r="AJ8" s="6" t="s">
        <v>457</v>
      </c>
      <c r="AK8" s="7" t="s">
        <v>495</v>
      </c>
      <c r="AL8" s="7" t="s">
        <v>554</v>
      </c>
      <c r="AM8" s="481" t="s">
        <v>561</v>
      </c>
      <c r="AN8" s="481" t="s">
        <v>570</v>
      </c>
      <c r="AO8" s="481" t="s">
        <v>574</v>
      </c>
      <c r="AP8" s="481"/>
      <c r="AQ8" s="481"/>
      <c r="AR8" s="481"/>
    </row>
    <row r="9" spans="1:44" ht="12.75">
      <c r="A9" s="210"/>
      <c r="B9" s="37"/>
      <c r="C9" s="37"/>
      <c r="D9" s="37"/>
      <c r="E9" s="38"/>
      <c r="F9" s="38"/>
      <c r="G9" s="37"/>
      <c r="H9" s="37"/>
      <c r="I9" s="37"/>
      <c r="J9" s="38"/>
      <c r="K9" s="38"/>
      <c r="L9" s="37"/>
      <c r="M9" s="37"/>
      <c r="N9" s="37"/>
      <c r="O9" s="38"/>
      <c r="P9" s="38"/>
      <c r="Q9" s="37"/>
      <c r="R9" s="37"/>
      <c r="S9" s="37"/>
      <c r="T9" s="38"/>
      <c r="U9" s="38"/>
      <c r="V9" s="37"/>
      <c r="W9" s="37"/>
      <c r="X9" s="37"/>
      <c r="Y9" s="38"/>
      <c r="Z9" s="38"/>
      <c r="AA9" s="37"/>
      <c r="AB9" s="37"/>
      <c r="AC9" s="37"/>
      <c r="AD9" s="38"/>
      <c r="AE9" s="38"/>
      <c r="AF9" s="37"/>
      <c r="AG9" s="37"/>
      <c r="AH9" s="37"/>
      <c r="AI9" s="37"/>
      <c r="AJ9" s="38"/>
      <c r="AK9" s="37"/>
      <c r="AL9" s="37"/>
      <c r="AM9" s="37"/>
      <c r="AN9" s="37"/>
      <c r="AO9" s="37"/>
      <c r="AP9" s="37"/>
      <c r="AQ9" s="37"/>
      <c r="AR9" s="37"/>
    </row>
    <row r="10" spans="1:44" ht="12.75">
      <c r="A10" s="31" t="s">
        <v>77</v>
      </c>
      <c r="B10" s="59">
        <v>2.3</v>
      </c>
      <c r="C10" s="59">
        <v>3.4</v>
      </c>
      <c r="D10" s="59">
        <v>3.8</v>
      </c>
      <c r="E10" s="59">
        <v>3.1</v>
      </c>
      <c r="F10" s="86">
        <v>3</v>
      </c>
      <c r="G10" s="59">
        <v>2.49</v>
      </c>
      <c r="H10" s="59">
        <v>3.63</v>
      </c>
      <c r="I10" s="59">
        <v>3.48</v>
      </c>
      <c r="J10" s="59">
        <v>2.87</v>
      </c>
      <c r="K10" s="86">
        <v>3.03</v>
      </c>
      <c r="L10" s="59">
        <v>2.53</v>
      </c>
      <c r="M10" s="59">
        <v>3.53</v>
      </c>
      <c r="N10" s="59">
        <v>3.61</v>
      </c>
      <c r="O10" s="59">
        <v>3.35</v>
      </c>
      <c r="P10" s="86">
        <v>3.16</v>
      </c>
      <c r="Q10" s="59">
        <v>3.22</v>
      </c>
      <c r="R10" s="59">
        <v>4.31</v>
      </c>
      <c r="S10" s="59">
        <v>4.8</v>
      </c>
      <c r="T10" s="59">
        <v>3.08</v>
      </c>
      <c r="U10" s="86">
        <v>3.68</v>
      </c>
      <c r="V10" s="59">
        <v>3.04</v>
      </c>
      <c r="W10" s="59">
        <v>3.91</v>
      </c>
      <c r="X10" s="59">
        <v>5.07</v>
      </c>
      <c r="Y10" s="59">
        <v>4.06</v>
      </c>
      <c r="Z10" s="86">
        <v>3.89</v>
      </c>
      <c r="AA10" s="59">
        <v>3.66</v>
      </c>
      <c r="AB10" s="59">
        <v>6.67</v>
      </c>
      <c r="AC10" s="59">
        <v>4.18</v>
      </c>
      <c r="AD10" s="59">
        <v>3.9</v>
      </c>
      <c r="AE10" s="86">
        <v>4.4</v>
      </c>
      <c r="AF10" s="59">
        <v>4.07</v>
      </c>
      <c r="AG10" s="222">
        <v>6.72</v>
      </c>
      <c r="AH10" s="222">
        <v>5.5</v>
      </c>
      <c r="AI10" s="222">
        <v>4.1</v>
      </c>
      <c r="AJ10" s="86">
        <v>4.75</v>
      </c>
      <c r="AK10" s="222">
        <v>4</v>
      </c>
      <c r="AL10" s="222">
        <v>6.23</v>
      </c>
      <c r="AM10" s="480"/>
      <c r="AN10" s="480"/>
      <c r="AO10" s="480"/>
      <c r="AP10" s="480"/>
      <c r="AQ10" s="480"/>
      <c r="AR10" s="480"/>
    </row>
    <row r="11" spans="2:14" ht="12.75">
      <c r="B11" s="3"/>
      <c r="C11" s="3"/>
      <c r="D11" s="3"/>
      <c r="E11" s="3"/>
      <c r="F11" s="3"/>
      <c r="G11" s="3"/>
      <c r="H11" s="3"/>
      <c r="I11" s="3"/>
      <c r="J11" s="3"/>
      <c r="K11" s="3"/>
      <c r="L11" s="3"/>
      <c r="M11" s="3"/>
      <c r="N11" s="3"/>
    </row>
    <row r="12" spans="1:14" ht="25.5">
      <c r="A12" s="33" t="s">
        <v>79</v>
      </c>
      <c r="B12" s="15"/>
      <c r="C12" s="15"/>
      <c r="D12" s="15"/>
      <c r="E12" s="15"/>
      <c r="F12" s="15"/>
      <c r="G12" s="15"/>
      <c r="H12" s="15"/>
      <c r="I12" s="15"/>
      <c r="J12" s="15"/>
      <c r="K12" s="15"/>
      <c r="L12" s="15"/>
      <c r="M12" s="15"/>
      <c r="N12" s="15"/>
    </row>
    <row r="13" ht="12.75"/>
    <row r="14" ht="12.75">
      <c r="A14" s="36"/>
    </row>
    <row r="15" ht="12.75" hidden="1"/>
    <row r="16" ht="12.75" hidden="1"/>
    <row r="17" ht="12.75" hidden="1"/>
    <row r="18" ht="12.75" hidden="1"/>
    <row r="19" ht="12.75" hidden="1"/>
    <row r="20" ht="12.75" hidden="1"/>
    <row r="21" ht="12.75" hidden="1"/>
    <row r="22" ht="12.75" hidden="1"/>
    <row r="23" ht="12.75" hidden="1"/>
    <row r="24" ht="12.75" hidden="1">
      <c r="E24" s="36"/>
    </row>
  </sheetData>
  <sheetProtection/>
  <printOptions/>
  <pageMargins left="0.75" right="0.75" top="1" bottom="1" header="0.5" footer="0.5"/>
  <pageSetup fitToHeight="1" fitToWidth="1"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indexed="52"/>
    <pageSetUpPr fitToPage="1"/>
  </sheetPr>
  <dimension ref="A1:BW54"/>
  <sheetViews>
    <sheetView zoomScalePageLayoutView="0" workbookViewId="0" topLeftCell="A1">
      <pane xSplit="1" ySplit="1" topLeftCell="BO2" activePane="bottomRight" state="frozen"/>
      <selection pane="topLeft" activeCell="AR8" sqref="AR8"/>
      <selection pane="topRight" activeCell="AR8" sqref="AR8"/>
      <selection pane="bottomLeft" activeCell="AR8" sqref="AR8"/>
      <selection pane="bottomRight" activeCell="A1" sqref="A1"/>
    </sheetView>
  </sheetViews>
  <sheetFormatPr defaultColWidth="9.140625" defaultRowHeight="12.75" zeroHeight="1" outlineLevelCol="1"/>
  <cols>
    <col min="1" max="1" width="65.421875" style="91" customWidth="1"/>
    <col min="2" max="8" width="11.8515625" style="91" hidden="1" customWidth="1" outlineLevel="1"/>
    <col min="9" max="21" width="11.57421875" style="91" hidden="1" customWidth="1" outlineLevel="1"/>
    <col min="22" max="22" width="11.57421875" style="91" customWidth="1" collapsed="1"/>
    <col min="23" max="44" width="11.57421875" style="91" customWidth="1"/>
    <col min="45" max="45" width="11.57421875" style="290" customWidth="1"/>
    <col min="46" max="46" width="11.57421875" style="91" customWidth="1"/>
    <col min="47" max="47" width="11.57421875" style="290" customWidth="1"/>
    <col min="48" max="48" width="11.57421875" style="91" customWidth="1"/>
    <col min="49" max="49" width="11.57421875" style="290" customWidth="1"/>
    <col min="50" max="52" width="11.57421875" style="91" customWidth="1"/>
    <col min="53" max="54" width="11.57421875" style="290" customWidth="1"/>
    <col min="55" max="56" width="11.57421875" style="91" customWidth="1"/>
    <col min="57" max="57" width="11.57421875" style="371" customWidth="1"/>
    <col min="58" max="60" width="11.57421875" style="91" customWidth="1"/>
    <col min="61" max="61" width="12.57421875" style="91" customWidth="1"/>
    <col min="62" max="75" width="11.57421875" style="91" customWidth="1"/>
    <col min="76" max="16384" width="9.140625" style="91" customWidth="1"/>
  </cols>
  <sheetData>
    <row r="1" spans="1:75" ht="25.5">
      <c r="A1" s="89" t="s">
        <v>80</v>
      </c>
      <c r="B1" s="90" t="s">
        <v>2</v>
      </c>
      <c r="C1" s="90" t="s">
        <v>3</v>
      </c>
      <c r="D1" s="90" t="s">
        <v>4</v>
      </c>
      <c r="E1" s="90" t="s">
        <v>5</v>
      </c>
      <c r="F1" s="90" t="s">
        <v>249</v>
      </c>
      <c r="G1" s="90" t="s">
        <v>12</v>
      </c>
      <c r="H1" s="90" t="s">
        <v>13</v>
      </c>
      <c r="I1" s="90" t="s">
        <v>14</v>
      </c>
      <c r="J1" s="90" t="s">
        <v>15</v>
      </c>
      <c r="K1" s="90" t="s">
        <v>250</v>
      </c>
      <c r="L1" s="90" t="s">
        <v>17</v>
      </c>
      <c r="M1" s="90" t="s">
        <v>18</v>
      </c>
      <c r="N1" s="90" t="s">
        <v>19</v>
      </c>
      <c r="O1" s="90" t="s">
        <v>20</v>
      </c>
      <c r="P1" s="90" t="s">
        <v>251</v>
      </c>
      <c r="Q1" s="90" t="s">
        <v>22</v>
      </c>
      <c r="R1" s="90" t="s">
        <v>23</v>
      </c>
      <c r="S1" s="90" t="s">
        <v>24</v>
      </c>
      <c r="T1" s="90" t="s">
        <v>25</v>
      </c>
      <c r="U1" s="90" t="s">
        <v>226</v>
      </c>
      <c r="V1" s="90" t="s">
        <v>27</v>
      </c>
      <c r="W1" s="90" t="s">
        <v>28</v>
      </c>
      <c r="X1" s="90" t="s">
        <v>29</v>
      </c>
      <c r="Y1" s="90" t="s">
        <v>30</v>
      </c>
      <c r="Z1" s="90" t="s">
        <v>248</v>
      </c>
      <c r="AA1" s="90" t="s">
        <v>32</v>
      </c>
      <c r="AB1" s="90" t="s">
        <v>33</v>
      </c>
      <c r="AC1" s="90" t="s">
        <v>34</v>
      </c>
      <c r="AD1" s="90" t="s">
        <v>271</v>
      </c>
      <c r="AE1" s="90" t="s">
        <v>299</v>
      </c>
      <c r="AF1" s="90" t="s">
        <v>274</v>
      </c>
      <c r="AG1" s="90" t="s">
        <v>276</v>
      </c>
      <c r="AH1" s="90" t="s">
        <v>278</v>
      </c>
      <c r="AI1" s="90" t="s">
        <v>280</v>
      </c>
      <c r="AJ1" s="90" t="s">
        <v>300</v>
      </c>
      <c r="AK1" s="90" t="s">
        <v>289</v>
      </c>
      <c r="AL1" s="90" t="s">
        <v>290</v>
      </c>
      <c r="AM1" s="90" t="s">
        <v>291</v>
      </c>
      <c r="AN1" s="90" t="s">
        <v>292</v>
      </c>
      <c r="AO1" s="90" t="s">
        <v>293</v>
      </c>
      <c r="AP1" s="90" t="s">
        <v>329</v>
      </c>
      <c r="AQ1" s="90" t="s">
        <v>330</v>
      </c>
      <c r="AR1" s="90" t="s">
        <v>331</v>
      </c>
      <c r="AS1" s="289" t="s">
        <v>490</v>
      </c>
      <c r="AT1" s="90" t="s">
        <v>332</v>
      </c>
      <c r="AU1" s="289" t="s">
        <v>477</v>
      </c>
      <c r="AV1" s="90" t="s">
        <v>333</v>
      </c>
      <c r="AW1" s="289" t="s">
        <v>460</v>
      </c>
      <c r="AX1" s="90" t="s">
        <v>448</v>
      </c>
      <c r="AY1" s="90" t="s">
        <v>451</v>
      </c>
      <c r="AZ1" s="90" t="s">
        <v>453</v>
      </c>
      <c r="BA1" s="289" t="s">
        <v>461</v>
      </c>
      <c r="BB1" s="289" t="s">
        <v>480</v>
      </c>
      <c r="BC1" s="90" t="s">
        <v>454</v>
      </c>
      <c r="BD1" s="90" t="s">
        <v>462</v>
      </c>
      <c r="BE1" s="439" t="s">
        <v>492</v>
      </c>
      <c r="BF1" s="440" t="s">
        <v>553</v>
      </c>
      <c r="BG1" s="440" t="s">
        <v>560</v>
      </c>
      <c r="BH1" s="440" t="s">
        <v>493</v>
      </c>
      <c r="BI1" s="440" t="s">
        <v>582</v>
      </c>
      <c r="BJ1" s="90" t="s">
        <v>494</v>
      </c>
      <c r="BK1" s="90" t="s">
        <v>573</v>
      </c>
      <c r="BL1" s="440" t="s">
        <v>495</v>
      </c>
      <c r="BM1" s="440" t="s">
        <v>554</v>
      </c>
      <c r="BN1" s="440" t="s">
        <v>614</v>
      </c>
      <c r="BO1" s="440" t="s">
        <v>561</v>
      </c>
      <c r="BP1" s="440" t="s">
        <v>572</v>
      </c>
      <c r="BQ1" s="440" t="s">
        <v>604</v>
      </c>
      <c r="BR1" s="440" t="s">
        <v>602</v>
      </c>
      <c r="BS1" s="440" t="s">
        <v>595</v>
      </c>
      <c r="BT1" s="440" t="s">
        <v>605</v>
      </c>
      <c r="BU1" s="440" t="s">
        <v>617</v>
      </c>
      <c r="BV1" s="440" t="s">
        <v>619</v>
      </c>
      <c r="BW1" s="440" t="s">
        <v>620</v>
      </c>
    </row>
    <row r="2" ht="12.75" customHeight="1"/>
    <row r="3" ht="12.75" customHeight="1">
      <c r="A3" s="215" t="s">
        <v>408</v>
      </c>
    </row>
    <row r="4" spans="1:75" ht="12.75">
      <c r="A4" s="92" t="s">
        <v>81</v>
      </c>
      <c r="B4" s="88">
        <v>305896</v>
      </c>
      <c r="C4" s="88">
        <v>261656</v>
      </c>
      <c r="D4" s="88">
        <v>290646</v>
      </c>
      <c r="E4" s="88">
        <v>316571</v>
      </c>
      <c r="F4" s="93">
        <v>1174769</v>
      </c>
      <c r="G4" s="88">
        <v>291799</v>
      </c>
      <c r="H4" s="88">
        <v>286520</v>
      </c>
      <c r="I4" s="88">
        <v>258271</v>
      </c>
      <c r="J4" s="88">
        <v>323067</v>
      </c>
      <c r="K4" s="93">
        <v>1159657</v>
      </c>
      <c r="L4" s="88">
        <v>338633</v>
      </c>
      <c r="M4" s="88">
        <v>354146</v>
      </c>
      <c r="N4" s="88">
        <v>356108</v>
      </c>
      <c r="O4" s="88">
        <v>455151</v>
      </c>
      <c r="P4" s="93">
        <v>1504038</v>
      </c>
      <c r="Q4" s="88">
        <v>472757</v>
      </c>
      <c r="R4" s="88">
        <v>424077</v>
      </c>
      <c r="S4" s="88">
        <v>452351</v>
      </c>
      <c r="T4" s="88">
        <v>606645</v>
      </c>
      <c r="U4" s="93">
        <v>1955830</v>
      </c>
      <c r="V4" s="88">
        <v>571229</v>
      </c>
      <c r="W4" s="88">
        <v>545054</v>
      </c>
      <c r="X4" s="88">
        <v>585759</v>
      </c>
      <c r="Y4" s="88">
        <v>753122</v>
      </c>
      <c r="Z4" s="93">
        <v>2455164</v>
      </c>
      <c r="AA4" s="88">
        <v>798669</v>
      </c>
      <c r="AB4" s="88">
        <v>702169</v>
      </c>
      <c r="AC4" s="88">
        <v>762307</v>
      </c>
      <c r="AD4" s="88">
        <f>AE4-AC4-AB4-AA4</f>
        <v>627916</v>
      </c>
      <c r="AE4" s="93">
        <v>2891061</v>
      </c>
      <c r="AF4" s="88">
        <v>515836</v>
      </c>
      <c r="AG4" s="88">
        <v>606556</v>
      </c>
      <c r="AH4" s="88">
        <v>685133</v>
      </c>
      <c r="AI4" s="88">
        <v>786426</v>
      </c>
      <c r="AJ4" s="93">
        <v>2593951</v>
      </c>
      <c r="AK4" s="88">
        <v>786128</v>
      </c>
      <c r="AL4" s="88">
        <v>920467</v>
      </c>
      <c r="AM4" s="88">
        <v>976459</v>
      </c>
      <c r="AN4" s="88">
        <v>852030</v>
      </c>
      <c r="AO4" s="93">
        <v>3535084</v>
      </c>
      <c r="AP4" s="88">
        <v>632575</v>
      </c>
      <c r="AQ4" s="88">
        <v>25560</v>
      </c>
      <c r="AR4" s="88">
        <v>921994</v>
      </c>
      <c r="AS4" s="100">
        <v>2263251</v>
      </c>
      <c r="AT4" s="88">
        <v>980303</v>
      </c>
      <c r="AU4" s="100">
        <v>991449</v>
      </c>
      <c r="AV4" s="93">
        <v>3233445</v>
      </c>
      <c r="AW4" s="101">
        <v>3254700</v>
      </c>
      <c r="AX4" s="88">
        <v>866224</v>
      </c>
      <c r="AY4" s="88">
        <v>1048407</v>
      </c>
      <c r="AZ4" s="88">
        <v>1181934</v>
      </c>
      <c r="BA4" s="100">
        <v>1189853</v>
      </c>
      <c r="BB4" s="100">
        <v>3119840</v>
      </c>
      <c r="BC4" s="88">
        <v>1177131</v>
      </c>
      <c r="BD4" s="93">
        <v>4296971</v>
      </c>
      <c r="BE4" s="372">
        <v>876140</v>
      </c>
      <c r="BF4" s="88">
        <v>1053847</v>
      </c>
      <c r="BG4" s="88">
        <v>1189853</v>
      </c>
      <c r="BH4" s="88">
        <v>1178869</v>
      </c>
      <c r="BI4" s="88">
        <v>1178869</v>
      </c>
      <c r="BJ4" s="93">
        <v>4298709</v>
      </c>
      <c r="BK4" s="93">
        <v>4298709</v>
      </c>
      <c r="BL4" s="88">
        <v>1177493.1</v>
      </c>
      <c r="BM4" s="88">
        <v>1298386</v>
      </c>
      <c r="BN4" s="168">
        <v>1298640</v>
      </c>
      <c r="BO4" s="88">
        <v>1377670</v>
      </c>
      <c r="BP4" s="88">
        <v>1377670</v>
      </c>
      <c r="BQ4" s="88">
        <v>1489230</v>
      </c>
      <c r="BR4" s="93">
        <v>5343234</v>
      </c>
      <c r="BS4" s="88">
        <v>1348310</v>
      </c>
      <c r="BT4" s="88">
        <v>1319131</v>
      </c>
      <c r="BU4" s="88">
        <v>1432110</v>
      </c>
      <c r="BV4" s="68">
        <v>1427519</v>
      </c>
      <c r="BW4" s="41">
        <v>5527070</v>
      </c>
    </row>
    <row r="5" spans="1:75" ht="12.75">
      <c r="A5" s="94" t="s">
        <v>82</v>
      </c>
      <c r="B5" s="88">
        <v>3983</v>
      </c>
      <c r="C5" s="88">
        <v>-1134</v>
      </c>
      <c r="D5" s="88">
        <v>2880</v>
      </c>
      <c r="E5" s="88">
        <v>9645</v>
      </c>
      <c r="F5" s="93">
        <v>15374</v>
      </c>
      <c r="G5" s="88">
        <v>1443</v>
      </c>
      <c r="H5" s="88">
        <v>5750</v>
      </c>
      <c r="I5" s="88">
        <v>-1097</v>
      </c>
      <c r="J5" s="88">
        <v>1177</v>
      </c>
      <c r="K5" s="93">
        <v>7273</v>
      </c>
      <c r="L5" s="88">
        <v>2580</v>
      </c>
      <c r="M5" s="88">
        <v>2891</v>
      </c>
      <c r="N5" s="88">
        <v>11636</v>
      </c>
      <c r="O5" s="88">
        <v>2894</v>
      </c>
      <c r="P5" s="93">
        <v>20001</v>
      </c>
      <c r="Q5" s="88">
        <v>3823</v>
      </c>
      <c r="R5" s="88">
        <v>2465</v>
      </c>
      <c r="S5" s="88">
        <v>2467</v>
      </c>
      <c r="T5" s="88">
        <v>7371</v>
      </c>
      <c r="U5" s="93">
        <v>16126</v>
      </c>
      <c r="V5" s="88">
        <v>3141</v>
      </c>
      <c r="W5" s="88">
        <v>6379</v>
      </c>
      <c r="X5" s="88">
        <v>3680</v>
      </c>
      <c r="Y5" s="88">
        <v>5250</v>
      </c>
      <c r="Z5" s="93">
        <v>18450</v>
      </c>
      <c r="AA5" s="88">
        <v>83671</v>
      </c>
      <c r="AB5" s="88">
        <v>4683</v>
      </c>
      <c r="AC5" s="88">
        <v>3484</v>
      </c>
      <c r="AD5" s="88">
        <f aca="true" t="shared" si="0" ref="AD5:AD51">AE5-AC5-AB5-AA5</f>
        <v>9250</v>
      </c>
      <c r="AE5" s="93">
        <v>101088</v>
      </c>
      <c r="AF5" s="88">
        <v>17345</v>
      </c>
      <c r="AG5" s="88">
        <v>2469</v>
      </c>
      <c r="AH5" s="88">
        <v>24157</v>
      </c>
      <c r="AI5" s="88">
        <v>31092</v>
      </c>
      <c r="AJ5" s="93">
        <v>75063</v>
      </c>
      <c r="AK5" s="88">
        <v>12434</v>
      </c>
      <c r="AL5" s="88">
        <v>10757</v>
      </c>
      <c r="AM5" s="88">
        <v>-11549</v>
      </c>
      <c r="AN5" s="88">
        <v>7930</v>
      </c>
      <c r="AO5" s="93">
        <v>19572</v>
      </c>
      <c r="AP5" s="88">
        <v>15484</v>
      </c>
      <c r="AQ5" s="88">
        <v>498</v>
      </c>
      <c r="AR5" s="88">
        <v>9213</v>
      </c>
      <c r="AS5" s="100">
        <v>81901</v>
      </c>
      <c r="AT5" s="88">
        <v>56305</v>
      </c>
      <c r="AU5" s="100">
        <v>30137</v>
      </c>
      <c r="AV5" s="93">
        <v>138206</v>
      </c>
      <c r="AW5" s="101">
        <v>112038</v>
      </c>
      <c r="AX5" s="88">
        <v>10250</v>
      </c>
      <c r="AY5" s="88">
        <v>7018</v>
      </c>
      <c r="AZ5" s="88">
        <v>4814</v>
      </c>
      <c r="BA5" s="100">
        <v>5623</v>
      </c>
      <c r="BB5" s="100">
        <v>24085</v>
      </c>
      <c r="BC5" s="88">
        <v>9351</v>
      </c>
      <c r="BD5" s="93">
        <v>33436</v>
      </c>
      <c r="BE5" s="372">
        <v>10656</v>
      </c>
      <c r="BF5" s="88">
        <v>7806</v>
      </c>
      <c r="BG5" s="88">
        <v>5623</v>
      </c>
      <c r="BH5" s="88">
        <v>1754</v>
      </c>
      <c r="BI5" s="88">
        <v>1754</v>
      </c>
      <c r="BJ5" s="93">
        <v>25839</v>
      </c>
      <c r="BK5" s="93">
        <v>25839</v>
      </c>
      <c r="BL5" s="88">
        <v>23983.9</v>
      </c>
      <c r="BM5" s="88">
        <v>10492</v>
      </c>
      <c r="BN5" s="168">
        <v>9946</v>
      </c>
      <c r="BO5" s="88">
        <v>-11697</v>
      </c>
      <c r="BP5" s="88">
        <v>-11697</v>
      </c>
      <c r="BQ5" s="88">
        <v>2044</v>
      </c>
      <c r="BR5" s="93">
        <v>23758</v>
      </c>
      <c r="BS5" s="88">
        <v>11991</v>
      </c>
      <c r="BT5" s="88">
        <v>-2432</v>
      </c>
      <c r="BU5" s="88">
        <v>13203</v>
      </c>
      <c r="BV5" s="68">
        <v>7789</v>
      </c>
      <c r="BW5" s="41">
        <v>30551</v>
      </c>
    </row>
    <row r="6" spans="1:75" ht="12.75">
      <c r="A6" s="95" t="s">
        <v>83</v>
      </c>
      <c r="B6" s="96">
        <v>309879</v>
      </c>
      <c r="C6" s="96">
        <v>260522</v>
      </c>
      <c r="D6" s="96">
        <v>293526</v>
      </c>
      <c r="E6" s="96">
        <v>326216</v>
      </c>
      <c r="F6" s="97">
        <v>1190143</v>
      </c>
      <c r="G6" s="96">
        <v>293242</v>
      </c>
      <c r="H6" s="96">
        <v>292270</v>
      </c>
      <c r="I6" s="96">
        <v>257174</v>
      </c>
      <c r="J6" s="96">
        <v>324244</v>
      </c>
      <c r="K6" s="97">
        <v>1166930</v>
      </c>
      <c r="L6" s="96">
        <v>341213</v>
      </c>
      <c r="M6" s="96">
        <v>357037</v>
      </c>
      <c r="N6" s="96">
        <v>367744</v>
      </c>
      <c r="O6" s="96">
        <v>458045</v>
      </c>
      <c r="P6" s="97">
        <v>1524039</v>
      </c>
      <c r="Q6" s="96">
        <v>476580</v>
      </c>
      <c r="R6" s="96">
        <v>426542</v>
      </c>
      <c r="S6" s="96">
        <v>454818</v>
      </c>
      <c r="T6" s="96">
        <v>614016</v>
      </c>
      <c r="U6" s="97">
        <v>1971956</v>
      </c>
      <c r="V6" s="96">
        <v>574370</v>
      </c>
      <c r="W6" s="96">
        <v>551433</v>
      </c>
      <c r="X6" s="96">
        <v>589439</v>
      </c>
      <c r="Y6" s="96">
        <v>758372</v>
      </c>
      <c r="Z6" s="97">
        <v>2473614</v>
      </c>
      <c r="AA6" s="96">
        <v>882340</v>
      </c>
      <c r="AB6" s="96">
        <v>706852</v>
      </c>
      <c r="AC6" s="96">
        <v>765791</v>
      </c>
      <c r="AD6" s="96">
        <f t="shared" si="0"/>
        <v>637166</v>
      </c>
      <c r="AE6" s="97">
        <v>2992149</v>
      </c>
      <c r="AF6" s="96">
        <v>533181</v>
      </c>
      <c r="AG6" s="96">
        <v>609025</v>
      </c>
      <c r="AH6" s="96">
        <v>709290</v>
      </c>
      <c r="AI6" s="96">
        <v>817518</v>
      </c>
      <c r="AJ6" s="97">
        <v>2669014</v>
      </c>
      <c r="AK6" s="96">
        <v>798562</v>
      </c>
      <c r="AL6" s="96">
        <v>931224</v>
      </c>
      <c r="AM6" s="96">
        <v>964910</v>
      </c>
      <c r="AN6" s="96">
        <v>859960</v>
      </c>
      <c r="AO6" s="97">
        <v>3554656</v>
      </c>
      <c r="AP6" s="96">
        <v>648059</v>
      </c>
      <c r="AQ6" s="96">
        <v>755777</v>
      </c>
      <c r="AR6" s="96">
        <v>931207</v>
      </c>
      <c r="AS6" s="294">
        <v>2345152</v>
      </c>
      <c r="AT6" s="96">
        <v>1036608</v>
      </c>
      <c r="AU6" s="294">
        <v>1021586</v>
      </c>
      <c r="AV6" s="97">
        <v>3371651</v>
      </c>
      <c r="AW6" s="291">
        <v>3366738</v>
      </c>
      <c r="AX6" s="96">
        <v>876474</v>
      </c>
      <c r="AY6" s="96">
        <v>1055425</v>
      </c>
      <c r="AZ6" s="96">
        <v>1186748</v>
      </c>
      <c r="BA6" s="294">
        <v>1195476</v>
      </c>
      <c r="BB6" s="294">
        <v>3143925</v>
      </c>
      <c r="BC6" s="96">
        <v>1186482</v>
      </c>
      <c r="BD6" s="97">
        <v>4330407</v>
      </c>
      <c r="BE6" s="373">
        <v>886796</v>
      </c>
      <c r="BF6" s="96">
        <v>1061653</v>
      </c>
      <c r="BG6" s="96">
        <v>1195476</v>
      </c>
      <c r="BH6" s="96">
        <v>1180623</v>
      </c>
      <c r="BI6" s="96">
        <v>1180623</v>
      </c>
      <c r="BJ6" s="97">
        <v>4324548</v>
      </c>
      <c r="BK6" s="97">
        <v>4324548</v>
      </c>
      <c r="BL6" s="96">
        <v>1201477</v>
      </c>
      <c r="BM6" s="96">
        <v>1308878</v>
      </c>
      <c r="BN6" s="218">
        <v>1308586</v>
      </c>
      <c r="BO6" s="96">
        <v>1365973</v>
      </c>
      <c r="BP6" s="96">
        <v>1365973</v>
      </c>
      <c r="BQ6" s="96">
        <v>1491274</v>
      </c>
      <c r="BR6" s="97">
        <v>5366992</v>
      </c>
      <c r="BS6" s="96">
        <v>1360301</v>
      </c>
      <c r="BT6" s="96">
        <v>1316699</v>
      </c>
      <c r="BU6" s="96">
        <v>1445313</v>
      </c>
      <c r="BV6" s="61">
        <v>1435308</v>
      </c>
      <c r="BW6" s="540">
        <v>5557621</v>
      </c>
    </row>
    <row r="7" ht="12.75">
      <c r="A7" s="98"/>
    </row>
    <row r="8" spans="1:75" ht="12.75">
      <c r="A8" s="92" t="s">
        <v>84</v>
      </c>
      <c r="B8" s="88">
        <v>105721</v>
      </c>
      <c r="C8" s="88">
        <v>106324</v>
      </c>
      <c r="D8" s="88">
        <v>96247</v>
      </c>
      <c r="E8" s="88">
        <v>99937</v>
      </c>
      <c r="F8" s="93">
        <v>408229</v>
      </c>
      <c r="G8" s="88">
        <v>82282</v>
      </c>
      <c r="H8" s="88">
        <v>83189</v>
      </c>
      <c r="I8" s="88">
        <v>96082</v>
      </c>
      <c r="J8" s="88">
        <v>76707</v>
      </c>
      <c r="K8" s="93">
        <v>338260</v>
      </c>
      <c r="L8" s="88">
        <v>87306</v>
      </c>
      <c r="M8" s="88">
        <v>131983</v>
      </c>
      <c r="N8" s="88">
        <v>166175</v>
      </c>
      <c r="O8" s="88">
        <v>156238</v>
      </c>
      <c r="P8" s="93">
        <v>541702</v>
      </c>
      <c r="Q8" s="88">
        <v>160219</v>
      </c>
      <c r="R8" s="88">
        <v>174374</v>
      </c>
      <c r="S8" s="88">
        <v>198732</v>
      </c>
      <c r="T8" s="88">
        <v>201644</v>
      </c>
      <c r="U8" s="93">
        <v>734969</v>
      </c>
      <c r="V8" s="88">
        <v>215747</v>
      </c>
      <c r="W8" s="88">
        <v>222442</v>
      </c>
      <c r="X8" s="88">
        <v>306369</v>
      </c>
      <c r="Y8" s="88">
        <v>303651</v>
      </c>
      <c r="Z8" s="93">
        <v>1048209</v>
      </c>
      <c r="AA8" s="88">
        <v>331849</v>
      </c>
      <c r="AB8" s="88">
        <v>335086</v>
      </c>
      <c r="AC8" s="88">
        <v>391942</v>
      </c>
      <c r="AD8" s="88">
        <f t="shared" si="0"/>
        <v>304787</v>
      </c>
      <c r="AE8" s="93">
        <v>1363664</v>
      </c>
      <c r="AF8" s="88">
        <v>286987</v>
      </c>
      <c r="AG8" s="88">
        <v>325110</v>
      </c>
      <c r="AH8" s="88">
        <v>397752</v>
      </c>
      <c r="AI8" s="88">
        <v>483056</v>
      </c>
      <c r="AJ8" s="93">
        <v>1492905</v>
      </c>
      <c r="AK8" s="88">
        <v>560972</v>
      </c>
      <c r="AL8" s="88">
        <v>568405</v>
      </c>
      <c r="AM8" s="88">
        <v>592875</v>
      </c>
      <c r="AN8" s="88">
        <v>440246</v>
      </c>
      <c r="AO8" s="93">
        <v>2162498</v>
      </c>
      <c r="AP8" s="88">
        <v>331209</v>
      </c>
      <c r="AQ8" s="88">
        <v>380712</v>
      </c>
      <c r="AR8" s="88">
        <v>560798</v>
      </c>
      <c r="AS8" s="100">
        <v>1272719</v>
      </c>
      <c r="AT8" s="88">
        <v>550155</v>
      </c>
      <c r="AU8" s="100">
        <v>550009</v>
      </c>
      <c r="AV8" s="93">
        <v>1822874</v>
      </c>
      <c r="AW8" s="101">
        <v>1822728</v>
      </c>
      <c r="AX8" s="88">
        <v>573688</v>
      </c>
      <c r="AY8" s="88">
        <v>609102</v>
      </c>
      <c r="AZ8" s="88">
        <v>733982</v>
      </c>
      <c r="BA8" s="100">
        <v>733982</v>
      </c>
      <c r="BB8" s="100">
        <v>1916772</v>
      </c>
      <c r="BC8" s="88">
        <v>651475</v>
      </c>
      <c r="BD8" s="93">
        <v>2568247</v>
      </c>
      <c r="BE8" s="372">
        <v>573688</v>
      </c>
      <c r="BF8" s="88">
        <v>609102</v>
      </c>
      <c r="BG8" s="88">
        <v>733982</v>
      </c>
      <c r="BH8" s="88">
        <v>651587</v>
      </c>
      <c r="BI8" s="88">
        <v>651219</v>
      </c>
      <c r="BJ8" s="93">
        <v>2568359</v>
      </c>
      <c r="BK8" s="93">
        <v>2566868</v>
      </c>
      <c r="BL8" s="88">
        <v>817077</v>
      </c>
      <c r="BM8" s="88">
        <v>862482</v>
      </c>
      <c r="BN8" s="88">
        <v>856645</v>
      </c>
      <c r="BO8" s="88">
        <v>847153</v>
      </c>
      <c r="BP8" s="88">
        <v>846346</v>
      </c>
      <c r="BQ8" s="88">
        <v>888492.2726756562</v>
      </c>
      <c r="BR8" s="93">
        <v>3408580</v>
      </c>
      <c r="BS8" s="88">
        <v>926754</v>
      </c>
      <c r="BT8" s="88">
        <v>820673</v>
      </c>
      <c r="BU8" s="88">
        <v>910440</v>
      </c>
      <c r="BV8" s="68">
        <v>889362</v>
      </c>
      <c r="BW8" s="41">
        <v>3547229</v>
      </c>
    </row>
    <row r="9" spans="1:75" ht="12.75">
      <c r="A9" s="92" t="s">
        <v>85</v>
      </c>
      <c r="B9" s="88">
        <v>9009</v>
      </c>
      <c r="C9" s="88">
        <v>15668</v>
      </c>
      <c r="D9" s="88">
        <v>17290</v>
      </c>
      <c r="E9" s="88">
        <v>21973</v>
      </c>
      <c r="F9" s="93">
        <v>63940</v>
      </c>
      <c r="G9" s="88">
        <v>11181</v>
      </c>
      <c r="H9" s="88">
        <v>16736</v>
      </c>
      <c r="I9" s="88">
        <v>19321</v>
      </c>
      <c r="J9" s="88">
        <v>19219</v>
      </c>
      <c r="K9" s="93">
        <v>66457</v>
      </c>
      <c r="L9" s="88">
        <v>13677</v>
      </c>
      <c r="M9" s="88">
        <v>28087</v>
      </c>
      <c r="N9" s="88">
        <v>28154</v>
      </c>
      <c r="O9" s="88">
        <v>25991</v>
      </c>
      <c r="P9" s="93">
        <v>95909</v>
      </c>
      <c r="Q9" s="88">
        <v>21736</v>
      </c>
      <c r="R9" s="88">
        <v>29461</v>
      </c>
      <c r="S9" s="88">
        <v>24442</v>
      </c>
      <c r="T9" s="88">
        <v>31899</v>
      </c>
      <c r="U9" s="93">
        <v>107538</v>
      </c>
      <c r="V9" s="88">
        <v>25905</v>
      </c>
      <c r="W9" s="88">
        <v>30796</v>
      </c>
      <c r="X9" s="88">
        <v>28840</v>
      </c>
      <c r="Y9" s="88">
        <v>25772</v>
      </c>
      <c r="Z9" s="93">
        <v>111313</v>
      </c>
      <c r="AA9" s="88">
        <v>25444</v>
      </c>
      <c r="AB9" s="88">
        <v>30256</v>
      </c>
      <c r="AC9" s="88">
        <v>31309</v>
      </c>
      <c r="AD9" s="88">
        <f t="shared" si="0"/>
        <v>38256</v>
      </c>
      <c r="AE9" s="93">
        <v>125265</v>
      </c>
      <c r="AF9" s="88">
        <v>27016</v>
      </c>
      <c r="AG9" s="88">
        <v>32493</v>
      </c>
      <c r="AH9" s="88">
        <v>32706</v>
      </c>
      <c r="AI9" s="88">
        <v>39036</v>
      </c>
      <c r="AJ9" s="93">
        <v>131251</v>
      </c>
      <c r="AK9" s="88">
        <v>32829</v>
      </c>
      <c r="AL9" s="88">
        <v>39259</v>
      </c>
      <c r="AM9" s="88">
        <v>36136</v>
      </c>
      <c r="AN9" s="88">
        <v>44166</v>
      </c>
      <c r="AO9" s="93">
        <v>152390</v>
      </c>
      <c r="AP9" s="88">
        <v>32475</v>
      </c>
      <c r="AQ9" s="88">
        <v>34879</v>
      </c>
      <c r="AR9" s="88">
        <v>37968</v>
      </c>
      <c r="AS9" s="100">
        <v>105396</v>
      </c>
      <c r="AT9" s="88">
        <v>62295</v>
      </c>
      <c r="AU9" s="100">
        <v>64300</v>
      </c>
      <c r="AV9" s="93">
        <v>167617</v>
      </c>
      <c r="AW9" s="101">
        <v>169696</v>
      </c>
      <c r="AX9" s="88">
        <v>37849</v>
      </c>
      <c r="AY9" s="88">
        <v>49913</v>
      </c>
      <c r="AZ9" s="88">
        <v>50808</v>
      </c>
      <c r="BA9" s="100">
        <v>50808</v>
      </c>
      <c r="BB9" s="100">
        <v>138570</v>
      </c>
      <c r="BC9" s="88">
        <v>57185</v>
      </c>
      <c r="BD9" s="93">
        <v>195755</v>
      </c>
      <c r="BE9" s="372">
        <v>37849</v>
      </c>
      <c r="BF9" s="88">
        <v>49913</v>
      </c>
      <c r="BG9" s="88">
        <v>50808</v>
      </c>
      <c r="BH9" s="88">
        <v>58290</v>
      </c>
      <c r="BI9" s="88">
        <v>58290</v>
      </c>
      <c r="BJ9" s="93">
        <v>196860</v>
      </c>
      <c r="BK9" s="93">
        <v>196860</v>
      </c>
      <c r="BL9" s="88">
        <v>39441</v>
      </c>
      <c r="BM9" s="88">
        <v>44423</v>
      </c>
      <c r="BN9" s="88">
        <v>44423</v>
      </c>
      <c r="BO9" s="88">
        <v>46311</v>
      </c>
      <c r="BP9" s="88">
        <v>46311</v>
      </c>
      <c r="BQ9" s="88">
        <v>55092</v>
      </c>
      <c r="BR9" s="93">
        <v>185267</v>
      </c>
      <c r="BS9" s="88">
        <v>44473</v>
      </c>
      <c r="BT9" s="88">
        <v>50950</v>
      </c>
      <c r="BU9" s="88">
        <v>47814</v>
      </c>
      <c r="BV9" s="68">
        <v>53501</v>
      </c>
      <c r="BW9" s="41">
        <v>196738</v>
      </c>
    </row>
    <row r="10" spans="1:75" ht="12.75">
      <c r="A10" s="92" t="s">
        <v>86</v>
      </c>
      <c r="B10" s="88">
        <v>140179</v>
      </c>
      <c r="C10" s="88">
        <v>99519</v>
      </c>
      <c r="D10" s="88">
        <v>128440</v>
      </c>
      <c r="E10" s="88">
        <v>121280</v>
      </c>
      <c r="F10" s="93">
        <v>489418</v>
      </c>
      <c r="G10" s="88">
        <v>133439</v>
      </c>
      <c r="H10" s="88">
        <v>103559</v>
      </c>
      <c r="I10" s="88">
        <v>84748</v>
      </c>
      <c r="J10" s="88">
        <v>142037</v>
      </c>
      <c r="K10" s="93">
        <v>463783</v>
      </c>
      <c r="L10" s="88">
        <v>171199</v>
      </c>
      <c r="M10" s="88">
        <v>114451</v>
      </c>
      <c r="N10" s="88">
        <v>70296</v>
      </c>
      <c r="O10" s="88">
        <v>186255</v>
      </c>
      <c r="P10" s="93">
        <v>542201</v>
      </c>
      <c r="Q10" s="88">
        <v>164424</v>
      </c>
      <c r="R10" s="88">
        <v>88010</v>
      </c>
      <c r="S10" s="88">
        <v>77912</v>
      </c>
      <c r="T10" s="88">
        <v>173078</v>
      </c>
      <c r="U10" s="93">
        <v>503424</v>
      </c>
      <c r="V10" s="88">
        <v>185351</v>
      </c>
      <c r="W10" s="88">
        <v>121031</v>
      </c>
      <c r="X10" s="88">
        <v>111911</v>
      </c>
      <c r="Y10" s="88">
        <v>223362</v>
      </c>
      <c r="Z10" s="93">
        <v>641655</v>
      </c>
      <c r="AA10" s="88">
        <v>288964</v>
      </c>
      <c r="AB10" s="88">
        <v>102922</v>
      </c>
      <c r="AC10" s="88">
        <v>114513</v>
      </c>
      <c r="AD10" s="88">
        <f t="shared" si="0"/>
        <v>97124</v>
      </c>
      <c r="AE10" s="93">
        <v>603523</v>
      </c>
      <c r="AF10" s="88">
        <v>55219</v>
      </c>
      <c r="AG10" s="88">
        <v>55891</v>
      </c>
      <c r="AH10" s="88">
        <v>68211</v>
      </c>
      <c r="AI10" s="88">
        <v>112719</v>
      </c>
      <c r="AJ10" s="93">
        <v>292040</v>
      </c>
      <c r="AK10" s="88">
        <v>74538</v>
      </c>
      <c r="AL10" s="88">
        <v>103234</v>
      </c>
      <c r="AM10" s="88">
        <v>120868</v>
      </c>
      <c r="AN10" s="88">
        <v>131462</v>
      </c>
      <c r="AO10" s="93">
        <v>430102</v>
      </c>
      <c r="AP10" s="88">
        <v>117454</v>
      </c>
      <c r="AQ10" s="88">
        <v>117812</v>
      </c>
      <c r="AR10" s="88">
        <v>161625</v>
      </c>
      <c r="AS10" s="100">
        <v>413814</v>
      </c>
      <c r="AT10" s="88">
        <v>132342</v>
      </c>
      <c r="AU10" s="100">
        <v>149349</v>
      </c>
      <c r="AV10" s="93">
        <v>529233</v>
      </c>
      <c r="AW10" s="101">
        <v>563163</v>
      </c>
      <c r="AX10" s="88">
        <v>90103</v>
      </c>
      <c r="AY10" s="88">
        <v>80803</v>
      </c>
      <c r="AZ10" s="88">
        <v>97419</v>
      </c>
      <c r="BA10" s="100">
        <v>117286</v>
      </c>
      <c r="BB10" s="100">
        <v>329697</v>
      </c>
      <c r="BC10" s="88">
        <v>159722</v>
      </c>
      <c r="BD10" s="93">
        <v>489419</v>
      </c>
      <c r="BE10" s="372">
        <v>110030</v>
      </c>
      <c r="BF10" s="88">
        <v>102381</v>
      </c>
      <c r="BG10" s="88">
        <v>117286</v>
      </c>
      <c r="BH10" s="88">
        <v>160023</v>
      </c>
      <c r="BI10" s="88">
        <v>160023</v>
      </c>
      <c r="BJ10" s="93">
        <v>489720</v>
      </c>
      <c r="BK10" s="93">
        <v>489720</v>
      </c>
      <c r="BL10" s="88">
        <v>131423</v>
      </c>
      <c r="BM10" s="88">
        <v>116530</v>
      </c>
      <c r="BN10" s="88">
        <v>116238</v>
      </c>
      <c r="BO10" s="88">
        <v>173224</v>
      </c>
      <c r="BP10" s="88">
        <v>173224</v>
      </c>
      <c r="BQ10" s="88">
        <v>233338</v>
      </c>
      <c r="BR10" s="93">
        <v>653905</v>
      </c>
      <c r="BS10" s="88">
        <v>205209</v>
      </c>
      <c r="BT10" s="88">
        <v>140780</v>
      </c>
      <c r="BU10" s="88">
        <v>152920</v>
      </c>
      <c r="BV10" s="68">
        <v>184888</v>
      </c>
      <c r="BW10" s="41">
        <v>683797</v>
      </c>
    </row>
    <row r="11" spans="1:75" s="290" customFormat="1" ht="12.75">
      <c r="A11" s="99" t="s">
        <v>87</v>
      </c>
      <c r="B11" s="100">
        <v>254909</v>
      </c>
      <c r="C11" s="100">
        <v>221511</v>
      </c>
      <c r="D11" s="100">
        <v>241977</v>
      </c>
      <c r="E11" s="100">
        <v>243190</v>
      </c>
      <c r="F11" s="101">
        <v>961587</v>
      </c>
      <c r="G11" s="100">
        <v>226902</v>
      </c>
      <c r="H11" s="100">
        <v>203484</v>
      </c>
      <c r="I11" s="100">
        <v>200151</v>
      </c>
      <c r="J11" s="100">
        <v>237963</v>
      </c>
      <c r="K11" s="101">
        <v>868500</v>
      </c>
      <c r="L11" s="100">
        <v>272182</v>
      </c>
      <c r="M11" s="100">
        <v>274521</v>
      </c>
      <c r="N11" s="100">
        <v>264625</v>
      </c>
      <c r="O11" s="100">
        <v>368484</v>
      </c>
      <c r="P11" s="101">
        <v>1179812</v>
      </c>
      <c r="Q11" s="100">
        <v>346379</v>
      </c>
      <c r="R11" s="100">
        <v>291845</v>
      </c>
      <c r="S11" s="100">
        <v>301086</v>
      </c>
      <c r="T11" s="100">
        <v>406621</v>
      </c>
      <c r="U11" s="101">
        <v>1345931</v>
      </c>
      <c r="V11" s="100">
        <v>427003</v>
      </c>
      <c r="W11" s="100">
        <v>374269</v>
      </c>
      <c r="X11" s="100">
        <v>447120</v>
      </c>
      <c r="Y11" s="100">
        <v>552785</v>
      </c>
      <c r="Z11" s="101">
        <v>1801177</v>
      </c>
      <c r="AA11" s="100">
        <v>646257</v>
      </c>
      <c r="AB11" s="100">
        <v>468264</v>
      </c>
      <c r="AC11" s="100">
        <v>537764</v>
      </c>
      <c r="AD11" s="100">
        <f t="shared" si="0"/>
        <v>440167</v>
      </c>
      <c r="AE11" s="101">
        <v>2092452</v>
      </c>
      <c r="AF11" s="100">
        <v>369222</v>
      </c>
      <c r="AG11" s="100">
        <v>413494</v>
      </c>
      <c r="AH11" s="100">
        <v>498669</v>
      </c>
      <c r="AI11" s="100">
        <v>634811</v>
      </c>
      <c r="AJ11" s="101">
        <v>1916196</v>
      </c>
      <c r="AK11" s="100">
        <v>668339</v>
      </c>
      <c r="AL11" s="100">
        <v>710898</v>
      </c>
      <c r="AM11" s="100">
        <v>749879</v>
      </c>
      <c r="AN11" s="100">
        <v>615874</v>
      </c>
      <c r="AO11" s="101">
        <v>2744990</v>
      </c>
      <c r="AP11" s="100">
        <v>481138</v>
      </c>
      <c r="AQ11" s="100">
        <v>533403</v>
      </c>
      <c r="AR11" s="100">
        <v>760391</v>
      </c>
      <c r="AS11" s="100">
        <v>1791929</v>
      </c>
      <c r="AT11" s="100">
        <v>744792</v>
      </c>
      <c r="AU11" s="100">
        <v>763658</v>
      </c>
      <c r="AV11" s="101">
        <v>2519724</v>
      </c>
      <c r="AW11" s="101">
        <v>2555587</v>
      </c>
      <c r="AX11" s="100">
        <v>701640</v>
      </c>
      <c r="AY11" s="100">
        <v>739818</v>
      </c>
      <c r="AZ11" s="100">
        <v>882209</v>
      </c>
      <c r="BA11" s="100">
        <v>902076</v>
      </c>
      <c r="BB11" s="100">
        <v>2385039</v>
      </c>
      <c r="BC11" s="100">
        <v>868382</v>
      </c>
      <c r="BD11" s="101">
        <v>3253421</v>
      </c>
      <c r="BE11" s="496">
        <v>721567</v>
      </c>
      <c r="BF11" s="100">
        <v>761396</v>
      </c>
      <c r="BG11" s="100">
        <v>902076</v>
      </c>
      <c r="BH11" s="100">
        <v>869900</v>
      </c>
      <c r="BI11" s="100">
        <v>869532</v>
      </c>
      <c r="BJ11" s="101">
        <v>3254939</v>
      </c>
      <c r="BK11" s="101">
        <v>3253448</v>
      </c>
      <c r="BL11" s="100">
        <v>987941</v>
      </c>
      <c r="BM11" s="100">
        <v>1023435</v>
      </c>
      <c r="BN11" s="100">
        <v>1017306</v>
      </c>
      <c r="BO11" s="100">
        <v>1066688</v>
      </c>
      <c r="BP11" s="100">
        <v>1065881</v>
      </c>
      <c r="BQ11" s="100">
        <v>1176922.2726756562</v>
      </c>
      <c r="BR11" s="101">
        <v>4247752</v>
      </c>
      <c r="BS11" s="100">
        <v>1176436</v>
      </c>
      <c r="BT11" s="100">
        <v>1012403</v>
      </c>
      <c r="BU11" s="100">
        <v>1111174</v>
      </c>
      <c r="BV11" s="539">
        <v>1127751</v>
      </c>
      <c r="BW11" s="541">
        <v>4427764</v>
      </c>
    </row>
    <row r="12" spans="1:75" ht="12.75">
      <c r="A12" s="92" t="s">
        <v>88</v>
      </c>
      <c r="B12" s="88">
        <v>18722</v>
      </c>
      <c r="C12" s="88">
        <v>19906</v>
      </c>
      <c r="D12" s="88">
        <v>16401</v>
      </c>
      <c r="E12" s="88">
        <v>20278</v>
      </c>
      <c r="F12" s="93">
        <v>75307</v>
      </c>
      <c r="G12" s="88">
        <v>17582</v>
      </c>
      <c r="H12" s="88">
        <v>21931</v>
      </c>
      <c r="I12" s="88">
        <v>13588</v>
      </c>
      <c r="J12" s="88">
        <v>20700</v>
      </c>
      <c r="K12" s="93">
        <v>73801</v>
      </c>
      <c r="L12" s="88">
        <v>15483</v>
      </c>
      <c r="M12" s="88">
        <v>22770</v>
      </c>
      <c r="N12" s="88">
        <v>18475</v>
      </c>
      <c r="O12" s="88">
        <v>26989</v>
      </c>
      <c r="P12" s="93">
        <v>83717</v>
      </c>
      <c r="Q12" s="88">
        <v>22319</v>
      </c>
      <c r="R12" s="88">
        <v>28809</v>
      </c>
      <c r="S12" s="88">
        <v>22848</v>
      </c>
      <c r="T12" s="88">
        <v>49248</v>
      </c>
      <c r="U12" s="93">
        <v>123224</v>
      </c>
      <c r="V12" s="88">
        <v>24337</v>
      </c>
      <c r="W12" s="88">
        <v>26462</v>
      </c>
      <c r="X12" s="88">
        <v>29026</v>
      </c>
      <c r="Y12" s="88">
        <v>28049</v>
      </c>
      <c r="Z12" s="93">
        <v>107874</v>
      </c>
      <c r="AA12" s="88">
        <v>26605</v>
      </c>
      <c r="AB12" s="88">
        <v>27043</v>
      </c>
      <c r="AC12" s="88">
        <v>24809</v>
      </c>
      <c r="AD12" s="88">
        <f t="shared" si="0"/>
        <v>30868</v>
      </c>
      <c r="AE12" s="93">
        <v>109325</v>
      </c>
      <c r="AF12" s="88">
        <v>25195</v>
      </c>
      <c r="AG12" s="88">
        <v>28666</v>
      </c>
      <c r="AH12" s="88">
        <v>29198</v>
      </c>
      <c r="AI12" s="88">
        <v>34201</v>
      </c>
      <c r="AJ12" s="93">
        <v>117260</v>
      </c>
      <c r="AK12" s="88">
        <v>30254</v>
      </c>
      <c r="AL12" s="88">
        <v>33097</v>
      </c>
      <c r="AM12" s="88">
        <v>32430</v>
      </c>
      <c r="AN12" s="88">
        <v>43286</v>
      </c>
      <c r="AO12" s="93">
        <v>139067</v>
      </c>
      <c r="AP12" s="100">
        <v>34400</v>
      </c>
      <c r="AQ12" s="88">
        <v>36148</v>
      </c>
      <c r="AR12" s="88">
        <v>63084</v>
      </c>
      <c r="AS12" s="100">
        <v>133669</v>
      </c>
      <c r="AT12" s="88">
        <v>66216</v>
      </c>
      <c r="AU12" s="100">
        <v>67269</v>
      </c>
      <c r="AV12" s="93">
        <v>199848</v>
      </c>
      <c r="AW12" s="101">
        <v>200938</v>
      </c>
      <c r="AX12" s="100">
        <v>61646</v>
      </c>
      <c r="AY12" s="100">
        <v>66821</v>
      </c>
      <c r="AZ12" s="100">
        <v>78183</v>
      </c>
      <c r="BA12" s="100">
        <v>78260</v>
      </c>
      <c r="BB12" s="100">
        <v>206839</v>
      </c>
      <c r="BC12" s="100">
        <v>66313</v>
      </c>
      <c r="BD12" s="93">
        <v>273152</v>
      </c>
      <c r="BE12" s="372">
        <v>61719</v>
      </c>
      <c r="BF12" s="88">
        <v>66860</v>
      </c>
      <c r="BG12" s="100">
        <v>78260</v>
      </c>
      <c r="BH12" s="100">
        <v>65129</v>
      </c>
      <c r="BI12" s="100">
        <v>65129</v>
      </c>
      <c r="BJ12" s="93">
        <v>271968</v>
      </c>
      <c r="BK12" s="93">
        <v>271968</v>
      </c>
      <c r="BL12" s="100">
        <v>65202</v>
      </c>
      <c r="BM12" s="100">
        <v>61649</v>
      </c>
      <c r="BN12" s="100">
        <v>61649</v>
      </c>
      <c r="BO12" s="88">
        <v>59132</v>
      </c>
      <c r="BP12" s="100">
        <v>59132</v>
      </c>
      <c r="BQ12" s="100">
        <v>69944</v>
      </c>
      <c r="BR12" s="93">
        <v>255927</v>
      </c>
      <c r="BS12" s="100">
        <v>62079</v>
      </c>
      <c r="BT12" s="100">
        <v>68101</v>
      </c>
      <c r="BU12" s="100">
        <v>64512</v>
      </c>
      <c r="BV12" s="539">
        <v>69983</v>
      </c>
      <c r="BW12" s="41">
        <v>264675</v>
      </c>
    </row>
    <row r="13" spans="1:75" ht="12.75">
      <c r="A13" s="92" t="s">
        <v>89</v>
      </c>
      <c r="B13" s="88">
        <v>17585</v>
      </c>
      <c r="C13" s="88">
        <v>16444</v>
      </c>
      <c r="D13" s="88">
        <v>18242</v>
      </c>
      <c r="E13" s="88">
        <v>23055</v>
      </c>
      <c r="F13" s="93">
        <v>75326</v>
      </c>
      <c r="G13" s="88">
        <v>16326</v>
      </c>
      <c r="H13" s="88">
        <v>16749</v>
      </c>
      <c r="I13" s="88">
        <v>16525</v>
      </c>
      <c r="J13" s="88">
        <v>22008</v>
      </c>
      <c r="K13" s="93">
        <v>71608</v>
      </c>
      <c r="L13" s="88">
        <v>20177</v>
      </c>
      <c r="M13" s="88">
        <v>22917</v>
      </c>
      <c r="N13" s="88">
        <v>24136</v>
      </c>
      <c r="O13" s="88">
        <v>28220</v>
      </c>
      <c r="P13" s="93">
        <v>95450</v>
      </c>
      <c r="Q13" s="88">
        <v>24789</v>
      </c>
      <c r="R13" s="88">
        <v>24983</v>
      </c>
      <c r="S13" s="88">
        <v>24738</v>
      </c>
      <c r="T13" s="88">
        <v>34049</v>
      </c>
      <c r="U13" s="93">
        <v>108559</v>
      </c>
      <c r="V13" s="88">
        <v>26887</v>
      </c>
      <c r="W13" s="88">
        <v>29196</v>
      </c>
      <c r="X13" s="88">
        <v>26501</v>
      </c>
      <c r="Y13" s="88">
        <v>40916</v>
      </c>
      <c r="Z13" s="93">
        <v>123500</v>
      </c>
      <c r="AA13" s="88">
        <v>31618</v>
      </c>
      <c r="AB13" s="88">
        <v>32602</v>
      </c>
      <c r="AC13" s="88">
        <v>32369</v>
      </c>
      <c r="AD13" s="88">
        <f t="shared" si="0"/>
        <v>36237</v>
      </c>
      <c r="AE13" s="93">
        <v>132826</v>
      </c>
      <c r="AF13" s="88">
        <v>34078</v>
      </c>
      <c r="AG13" s="88">
        <v>32036</v>
      </c>
      <c r="AH13" s="88">
        <v>38816</v>
      </c>
      <c r="AI13" s="88">
        <v>35608</v>
      </c>
      <c r="AJ13" s="93">
        <v>140538</v>
      </c>
      <c r="AK13" s="88">
        <v>34323</v>
      </c>
      <c r="AL13" s="88">
        <v>34152</v>
      </c>
      <c r="AM13" s="88">
        <v>38513</v>
      </c>
      <c r="AN13" s="88">
        <v>44940</v>
      </c>
      <c r="AO13" s="93">
        <v>151928</v>
      </c>
      <c r="AP13" s="88">
        <v>40223</v>
      </c>
      <c r="AQ13" s="88">
        <v>45180</v>
      </c>
      <c r="AR13" s="88">
        <v>57129</v>
      </c>
      <c r="AS13" s="100">
        <v>142532</v>
      </c>
      <c r="AT13" s="88">
        <v>70615</v>
      </c>
      <c r="AU13" s="100">
        <v>64608</v>
      </c>
      <c r="AV13" s="93">
        <v>213147</v>
      </c>
      <c r="AW13" s="101">
        <v>207140</v>
      </c>
      <c r="AX13" s="88">
        <v>70686</v>
      </c>
      <c r="AY13" s="88">
        <v>64417</v>
      </c>
      <c r="AZ13" s="88">
        <v>67180</v>
      </c>
      <c r="BA13" s="100">
        <v>67180</v>
      </c>
      <c r="BB13" s="100">
        <v>202283</v>
      </c>
      <c r="BC13" s="88">
        <v>76282</v>
      </c>
      <c r="BD13" s="93">
        <v>278565</v>
      </c>
      <c r="BE13" s="372">
        <v>70686</v>
      </c>
      <c r="BF13" s="88">
        <v>64417</v>
      </c>
      <c r="BG13" s="88">
        <v>67180</v>
      </c>
      <c r="BH13" s="88">
        <v>76786</v>
      </c>
      <c r="BI13" s="88">
        <v>77154</v>
      </c>
      <c r="BJ13" s="93">
        <v>279069</v>
      </c>
      <c r="BK13" s="93">
        <v>280560</v>
      </c>
      <c r="BL13" s="88">
        <v>67914</v>
      </c>
      <c r="BM13" s="88">
        <v>76830</v>
      </c>
      <c r="BN13" s="88">
        <v>82667</v>
      </c>
      <c r="BO13" s="88">
        <v>76227</v>
      </c>
      <c r="BP13" s="88">
        <v>77034</v>
      </c>
      <c r="BQ13" s="88">
        <v>122244.7273243439</v>
      </c>
      <c r="BR13" s="93">
        <v>349840</v>
      </c>
      <c r="BS13" s="88">
        <v>74052</v>
      </c>
      <c r="BT13" s="88">
        <v>74480</v>
      </c>
      <c r="BU13" s="88">
        <v>70625</v>
      </c>
      <c r="BV13" s="68">
        <v>99283</v>
      </c>
      <c r="BW13" s="41">
        <v>318440</v>
      </c>
    </row>
    <row r="14" spans="1:75" ht="12.75">
      <c r="A14" s="92" t="s">
        <v>90</v>
      </c>
      <c r="B14" s="88">
        <v>21329</v>
      </c>
      <c r="C14" s="88">
        <v>21825</v>
      </c>
      <c r="D14" s="88">
        <v>19203</v>
      </c>
      <c r="E14" s="88">
        <v>28113</v>
      </c>
      <c r="F14" s="93">
        <v>90470</v>
      </c>
      <c r="G14" s="88">
        <v>17888</v>
      </c>
      <c r="H14" s="88">
        <v>17566</v>
      </c>
      <c r="I14" s="88">
        <v>20237</v>
      </c>
      <c r="J14" s="88">
        <v>39660</v>
      </c>
      <c r="K14" s="93">
        <v>95351</v>
      </c>
      <c r="L14" s="88">
        <v>17758</v>
      </c>
      <c r="M14" s="88">
        <v>26914</v>
      </c>
      <c r="N14" s="88">
        <v>39074</v>
      </c>
      <c r="O14" s="88">
        <v>34666</v>
      </c>
      <c r="P14" s="93">
        <v>118412</v>
      </c>
      <c r="Q14" s="88">
        <v>47105</v>
      </c>
      <c r="R14" s="88">
        <v>46550</v>
      </c>
      <c r="S14" s="88">
        <v>35012</v>
      </c>
      <c r="T14" s="88">
        <v>63081</v>
      </c>
      <c r="U14" s="93">
        <v>191748</v>
      </c>
      <c r="V14" s="88">
        <v>56864</v>
      </c>
      <c r="W14" s="88">
        <v>38934</v>
      </c>
      <c r="X14" s="88">
        <v>58285</v>
      </c>
      <c r="Y14" s="88">
        <v>63239</v>
      </c>
      <c r="Z14" s="93">
        <v>217322</v>
      </c>
      <c r="AA14" s="88">
        <v>65943</v>
      </c>
      <c r="AB14" s="88">
        <v>62441</v>
      </c>
      <c r="AC14" s="88">
        <v>74759</v>
      </c>
      <c r="AD14" s="88">
        <f t="shared" si="0"/>
        <v>74337</v>
      </c>
      <c r="AE14" s="93">
        <v>277480</v>
      </c>
      <c r="AF14" s="88">
        <v>55234</v>
      </c>
      <c r="AG14" s="88">
        <v>47787</v>
      </c>
      <c r="AH14" s="88">
        <v>56303</v>
      </c>
      <c r="AI14" s="88">
        <v>65774</v>
      </c>
      <c r="AJ14" s="93">
        <v>225098</v>
      </c>
      <c r="AK14" s="88">
        <v>65125</v>
      </c>
      <c r="AL14" s="88">
        <v>70483</v>
      </c>
      <c r="AM14" s="88">
        <v>74868</v>
      </c>
      <c r="AN14" s="88">
        <v>69699</v>
      </c>
      <c r="AO14" s="93">
        <v>280175</v>
      </c>
      <c r="AP14" s="88">
        <v>46176</v>
      </c>
      <c r="AQ14" s="88">
        <v>71094</v>
      </c>
      <c r="AR14" s="88">
        <v>64826</v>
      </c>
      <c r="AS14" s="100">
        <v>183466</v>
      </c>
      <c r="AT14" s="88">
        <v>100461</v>
      </c>
      <c r="AU14" s="100">
        <v>74943</v>
      </c>
      <c r="AV14" s="93">
        <v>282557</v>
      </c>
      <c r="AW14" s="101">
        <v>258409</v>
      </c>
      <c r="AX14" s="88">
        <v>75917</v>
      </c>
      <c r="AY14" s="88">
        <v>138595</v>
      </c>
      <c r="AZ14" s="88">
        <v>61172</v>
      </c>
      <c r="BA14" s="100">
        <v>62728</v>
      </c>
      <c r="BB14" s="100">
        <v>282572</v>
      </c>
      <c r="BC14" s="88">
        <v>96379</v>
      </c>
      <c r="BD14" s="93">
        <v>378951</v>
      </c>
      <c r="BE14" s="372">
        <v>77611</v>
      </c>
      <c r="BF14" s="88">
        <v>142233</v>
      </c>
      <c r="BG14" s="88">
        <v>62728</v>
      </c>
      <c r="BH14" s="88">
        <v>92372</v>
      </c>
      <c r="BI14" s="88">
        <v>90854</v>
      </c>
      <c r="BJ14" s="93">
        <v>374944</v>
      </c>
      <c r="BK14" s="93">
        <v>368524</v>
      </c>
      <c r="BL14" s="88">
        <v>91653.8335808899</v>
      </c>
      <c r="BM14" s="88">
        <v>85563</v>
      </c>
      <c r="BN14" s="88">
        <v>84372</v>
      </c>
      <c r="BO14" s="88">
        <v>87156</v>
      </c>
      <c r="BP14" s="88">
        <v>85417</v>
      </c>
      <c r="BQ14" s="88">
        <v>119861.01384698079</v>
      </c>
      <c r="BR14" s="93">
        <v>381304</v>
      </c>
      <c r="BS14" s="88">
        <v>101851</v>
      </c>
      <c r="BT14" s="88">
        <v>95340</v>
      </c>
      <c r="BU14" s="88">
        <v>86282</v>
      </c>
      <c r="BV14" s="68">
        <v>87949</v>
      </c>
      <c r="BW14" s="41">
        <v>371422</v>
      </c>
    </row>
    <row r="15" spans="1:75" ht="12.75">
      <c r="A15" s="92" t="s">
        <v>91</v>
      </c>
      <c r="B15" s="88">
        <v>-1728</v>
      </c>
      <c r="C15" s="88">
        <v>-2910</v>
      </c>
      <c r="D15" s="88">
        <v>8496</v>
      </c>
      <c r="E15" s="88">
        <v>5378</v>
      </c>
      <c r="F15" s="93">
        <v>9236</v>
      </c>
      <c r="G15" s="88">
        <v>4625</v>
      </c>
      <c r="H15" s="88">
        <v>6890</v>
      </c>
      <c r="I15" s="88">
        <v>-6087</v>
      </c>
      <c r="J15" s="88">
        <v>10000</v>
      </c>
      <c r="K15" s="93">
        <v>15428</v>
      </c>
      <c r="L15" s="88">
        <v>-11422</v>
      </c>
      <c r="M15" s="88">
        <v>13065</v>
      </c>
      <c r="N15" s="88">
        <v>-4050</v>
      </c>
      <c r="O15" s="88">
        <v>-22607</v>
      </c>
      <c r="P15" s="93">
        <v>-25014</v>
      </c>
      <c r="Q15" s="88">
        <v>-20122</v>
      </c>
      <c r="R15" s="88">
        <v>-6829</v>
      </c>
      <c r="S15" s="88">
        <v>-4546</v>
      </c>
      <c r="T15" s="88">
        <v>12503</v>
      </c>
      <c r="U15" s="93">
        <v>-18994</v>
      </c>
      <c r="V15" s="88">
        <v>-49642</v>
      </c>
      <c r="W15" s="88">
        <v>10603</v>
      </c>
      <c r="X15" s="88">
        <v>-27690</v>
      </c>
      <c r="Y15" s="88">
        <v>11007</v>
      </c>
      <c r="Z15" s="93">
        <v>-55722</v>
      </c>
      <c r="AA15" s="88">
        <v>-37287</v>
      </c>
      <c r="AB15" s="88">
        <v>18712</v>
      </c>
      <c r="AC15" s="88">
        <v>6567</v>
      </c>
      <c r="AD15" s="88">
        <f t="shared" si="0"/>
        <v>25345</v>
      </c>
      <c r="AE15" s="93">
        <v>13337</v>
      </c>
      <c r="AF15" s="88">
        <v>-23067</v>
      </c>
      <c r="AG15" s="88">
        <v>-1922</v>
      </c>
      <c r="AH15" s="88">
        <v>-5991</v>
      </c>
      <c r="AI15" s="88">
        <v>-39201</v>
      </c>
      <c r="AJ15" s="93">
        <v>-70181</v>
      </c>
      <c r="AK15" s="88">
        <v>-63109</v>
      </c>
      <c r="AL15" s="88">
        <v>2853</v>
      </c>
      <c r="AM15" s="88">
        <v>33854</v>
      </c>
      <c r="AN15" s="88">
        <v>85813</v>
      </c>
      <c r="AO15" s="93">
        <v>59411</v>
      </c>
      <c r="AP15" s="88">
        <v>-19126</v>
      </c>
      <c r="AQ15" s="88">
        <v>-3058</v>
      </c>
      <c r="AR15" s="88">
        <v>-49676</v>
      </c>
      <c r="AS15" s="100">
        <v>-71860</v>
      </c>
      <c r="AT15" s="88">
        <v>16735</v>
      </c>
      <c r="AU15" s="100">
        <v>16023</v>
      </c>
      <c r="AV15" s="93">
        <v>-55125</v>
      </c>
      <c r="AW15" s="101">
        <v>-55837</v>
      </c>
      <c r="AX15" s="88">
        <v>-87274</v>
      </c>
      <c r="AY15" s="88">
        <v>1674</v>
      </c>
      <c r="AZ15" s="88">
        <v>11790</v>
      </c>
      <c r="BA15" s="100">
        <v>5988</v>
      </c>
      <c r="BB15" s="100">
        <v>-79612</v>
      </c>
      <c r="BC15" s="88">
        <v>29066</v>
      </c>
      <c r="BD15" s="93">
        <v>-50546</v>
      </c>
      <c r="BE15" s="372">
        <v>-87274</v>
      </c>
      <c r="BF15" s="88">
        <v>-3984</v>
      </c>
      <c r="BG15" s="88">
        <v>11646</v>
      </c>
      <c r="BH15" s="88">
        <v>28680</v>
      </c>
      <c r="BI15" s="88">
        <v>28680</v>
      </c>
      <c r="BJ15" s="93">
        <v>-50932</v>
      </c>
      <c r="BK15" s="93">
        <v>-50932</v>
      </c>
      <c r="BL15" s="88">
        <v>-115832</v>
      </c>
      <c r="BM15" s="88">
        <v>-6834</v>
      </c>
      <c r="BN15" s="88">
        <v>-6834</v>
      </c>
      <c r="BO15" s="88">
        <v>35699</v>
      </c>
      <c r="BP15" s="88">
        <v>35699</v>
      </c>
      <c r="BQ15" s="88">
        <v>8100</v>
      </c>
      <c r="BR15" s="93">
        <v>-78867</v>
      </c>
      <c r="BS15" s="88">
        <v>-129660</v>
      </c>
      <c r="BT15" s="88">
        <v>79901</v>
      </c>
      <c r="BU15" s="88">
        <v>21273</v>
      </c>
      <c r="BV15" s="68">
        <v>29409</v>
      </c>
      <c r="BW15" s="41">
        <v>923</v>
      </c>
    </row>
    <row r="16" spans="1:75" ht="12.75">
      <c r="A16" s="92" t="s">
        <v>92</v>
      </c>
      <c r="B16" s="88">
        <v>-3987</v>
      </c>
      <c r="C16" s="88">
        <v>-2419</v>
      </c>
      <c r="D16" s="88">
        <v>-3624</v>
      </c>
      <c r="E16" s="88">
        <v>-8576</v>
      </c>
      <c r="F16" s="93">
        <v>-18606</v>
      </c>
      <c r="G16" s="88">
        <v>-2267</v>
      </c>
      <c r="H16" s="88">
        <v>-3325</v>
      </c>
      <c r="I16" s="88">
        <v>-4061</v>
      </c>
      <c r="J16" s="88">
        <v>-5274</v>
      </c>
      <c r="K16" s="93">
        <v>-14927</v>
      </c>
      <c r="L16" s="88">
        <v>-1112</v>
      </c>
      <c r="M16" s="88">
        <v>-3442</v>
      </c>
      <c r="N16" s="88">
        <v>-3145</v>
      </c>
      <c r="O16" s="88">
        <v>-3710</v>
      </c>
      <c r="P16" s="93">
        <v>-11409</v>
      </c>
      <c r="Q16" s="88">
        <v>-5711</v>
      </c>
      <c r="R16" s="88">
        <v>-6500</v>
      </c>
      <c r="S16" s="88">
        <v>-5963</v>
      </c>
      <c r="T16" s="88">
        <v>-9109</v>
      </c>
      <c r="U16" s="93">
        <v>-27283</v>
      </c>
      <c r="V16" s="88">
        <v>-3499</v>
      </c>
      <c r="W16" s="88">
        <v>-5456</v>
      </c>
      <c r="X16" s="88">
        <v>-13664</v>
      </c>
      <c r="Y16" s="88">
        <v>-2354</v>
      </c>
      <c r="Z16" s="93">
        <v>-24973</v>
      </c>
      <c r="AA16" s="88">
        <v>-5963</v>
      </c>
      <c r="AB16" s="88">
        <v>-4536</v>
      </c>
      <c r="AC16" s="88">
        <v>-5231</v>
      </c>
      <c r="AD16" s="88">
        <f t="shared" si="0"/>
        <v>-12354</v>
      </c>
      <c r="AE16" s="93">
        <v>-28084</v>
      </c>
      <c r="AF16" s="88">
        <v>-2581</v>
      </c>
      <c r="AG16" s="88">
        <v>-2574</v>
      </c>
      <c r="AH16" s="88">
        <v>-3670</v>
      </c>
      <c r="AI16" s="88">
        <v>-6577</v>
      </c>
      <c r="AJ16" s="93">
        <v>-15402</v>
      </c>
      <c r="AK16" s="88">
        <v>-3671</v>
      </c>
      <c r="AL16" s="88">
        <v>-9352</v>
      </c>
      <c r="AM16" s="88">
        <v>-1276</v>
      </c>
      <c r="AN16" s="88">
        <v>-6028</v>
      </c>
      <c r="AO16" s="93">
        <v>-20327</v>
      </c>
      <c r="AP16" s="88">
        <v>-2161</v>
      </c>
      <c r="AQ16" s="88">
        <v>-5836</v>
      </c>
      <c r="AR16" s="88">
        <v>-5530</v>
      </c>
      <c r="AS16" s="100">
        <v>-13527</v>
      </c>
      <c r="AT16" s="88">
        <v>-18212</v>
      </c>
      <c r="AU16" s="100">
        <v>-18351</v>
      </c>
      <c r="AV16" s="93">
        <v>-31739</v>
      </c>
      <c r="AW16" s="101">
        <v>-31878</v>
      </c>
      <c r="AX16" s="88">
        <v>-5625</v>
      </c>
      <c r="AY16" s="88">
        <v>-15430</v>
      </c>
      <c r="AZ16" s="88">
        <v>-9872</v>
      </c>
      <c r="BA16" s="100">
        <v>-4214</v>
      </c>
      <c r="BB16" s="100">
        <v>-30927</v>
      </c>
      <c r="BC16" s="88">
        <v>-12805</v>
      </c>
      <c r="BD16" s="93">
        <v>-43732</v>
      </c>
      <c r="BE16" s="372">
        <v>-5625</v>
      </c>
      <c r="BF16" s="88">
        <v>-15430</v>
      </c>
      <c r="BG16" s="88">
        <v>-9872</v>
      </c>
      <c r="BH16" s="88">
        <v>-13571</v>
      </c>
      <c r="BI16" s="88">
        <v>-13571</v>
      </c>
      <c r="BJ16" s="93">
        <v>-44498</v>
      </c>
      <c r="BK16" s="93">
        <v>-44498</v>
      </c>
      <c r="BL16" s="88">
        <v>-4757</v>
      </c>
      <c r="BM16" s="88">
        <v>-10204</v>
      </c>
      <c r="BN16" s="88">
        <v>-10204</v>
      </c>
      <c r="BO16" s="88">
        <v>-9696</v>
      </c>
      <c r="BP16" s="88">
        <v>-9696</v>
      </c>
      <c r="BQ16" s="88">
        <v>-17489</v>
      </c>
      <c r="BR16" s="93">
        <v>-42146</v>
      </c>
      <c r="BS16" s="88">
        <v>-7800</v>
      </c>
      <c r="BT16" s="88">
        <v>-14590</v>
      </c>
      <c r="BU16" s="88">
        <v>-11595</v>
      </c>
      <c r="BV16" s="68">
        <v>-12069</v>
      </c>
      <c r="BW16" s="41">
        <v>-46054</v>
      </c>
    </row>
    <row r="17" spans="1:75" ht="12.75">
      <c r="A17" s="95" t="s">
        <v>93</v>
      </c>
      <c r="B17" s="96">
        <v>306830</v>
      </c>
      <c r="C17" s="96">
        <v>274357</v>
      </c>
      <c r="D17" s="96">
        <v>300695</v>
      </c>
      <c r="E17" s="96">
        <v>311438</v>
      </c>
      <c r="F17" s="97">
        <v>1193320</v>
      </c>
      <c r="G17" s="96">
        <v>281056</v>
      </c>
      <c r="H17" s="96">
        <v>263295</v>
      </c>
      <c r="I17" s="96">
        <v>240353</v>
      </c>
      <c r="J17" s="96">
        <v>325057</v>
      </c>
      <c r="K17" s="97">
        <v>1109761</v>
      </c>
      <c r="L17" s="96">
        <v>313066</v>
      </c>
      <c r="M17" s="96">
        <v>356745</v>
      </c>
      <c r="N17" s="96">
        <v>339115</v>
      </c>
      <c r="O17" s="96">
        <v>432042</v>
      </c>
      <c r="P17" s="97">
        <v>1440968</v>
      </c>
      <c r="Q17" s="96">
        <v>414759</v>
      </c>
      <c r="R17" s="96">
        <v>378858</v>
      </c>
      <c r="S17" s="96">
        <v>373175</v>
      </c>
      <c r="T17" s="96">
        <v>556393</v>
      </c>
      <c r="U17" s="97">
        <v>1723185</v>
      </c>
      <c r="V17" s="96">
        <v>481950</v>
      </c>
      <c r="W17" s="96">
        <v>474008</v>
      </c>
      <c r="X17" s="96">
        <v>519578</v>
      </c>
      <c r="Y17" s="96">
        <v>693642</v>
      </c>
      <c r="Z17" s="97">
        <v>2169178</v>
      </c>
      <c r="AA17" s="96">
        <v>727173</v>
      </c>
      <c r="AB17" s="96">
        <v>604526</v>
      </c>
      <c r="AC17" s="96">
        <v>671037</v>
      </c>
      <c r="AD17" s="96">
        <f t="shared" si="0"/>
        <v>594600</v>
      </c>
      <c r="AE17" s="97">
        <v>2597336</v>
      </c>
      <c r="AF17" s="96">
        <v>458081</v>
      </c>
      <c r="AG17" s="96">
        <v>517487</v>
      </c>
      <c r="AH17" s="96">
        <v>613325</v>
      </c>
      <c r="AI17" s="96">
        <v>724616</v>
      </c>
      <c r="AJ17" s="97">
        <v>2313509</v>
      </c>
      <c r="AK17" s="96">
        <v>731261</v>
      </c>
      <c r="AL17" s="96">
        <v>842131</v>
      </c>
      <c r="AM17" s="96">
        <v>928268</v>
      </c>
      <c r="AN17" s="96">
        <v>853584</v>
      </c>
      <c r="AO17" s="97">
        <v>3355244</v>
      </c>
      <c r="AP17" s="96">
        <v>580650</v>
      </c>
      <c r="AQ17" s="96">
        <v>676931</v>
      </c>
      <c r="AR17" s="96">
        <v>890224</v>
      </c>
      <c r="AS17" s="294">
        <v>2166209</v>
      </c>
      <c r="AT17" s="96">
        <v>980607</v>
      </c>
      <c r="AU17" s="294">
        <v>968150</v>
      </c>
      <c r="AV17" s="97">
        <v>3128412</v>
      </c>
      <c r="AW17" s="291">
        <v>3134359</v>
      </c>
      <c r="AX17" s="96">
        <v>816990</v>
      </c>
      <c r="AY17" s="96">
        <v>995895</v>
      </c>
      <c r="AZ17" s="96">
        <v>1090662</v>
      </c>
      <c r="BA17" s="294">
        <v>1112018</v>
      </c>
      <c r="BB17" s="294">
        <v>2966194</v>
      </c>
      <c r="BC17" s="96">
        <v>1123617</v>
      </c>
      <c r="BD17" s="97">
        <v>4089811</v>
      </c>
      <c r="BE17" s="373">
        <v>838684</v>
      </c>
      <c r="BF17" s="96">
        <v>1015492</v>
      </c>
      <c r="BG17" s="96">
        <v>1112018</v>
      </c>
      <c r="BH17" s="96">
        <v>1119296</v>
      </c>
      <c r="BI17" s="96">
        <v>1117778</v>
      </c>
      <c r="BJ17" s="97">
        <v>4085490</v>
      </c>
      <c r="BK17" s="97">
        <v>4079070</v>
      </c>
      <c r="BL17" s="96">
        <v>1092121.83358089</v>
      </c>
      <c r="BM17" s="96">
        <v>1230439</v>
      </c>
      <c r="BN17" s="96">
        <v>1228956</v>
      </c>
      <c r="BO17" s="96">
        <v>1315206</v>
      </c>
      <c r="BP17" s="96">
        <v>1313467</v>
      </c>
      <c r="BQ17" s="96">
        <v>1479583.013846981</v>
      </c>
      <c r="BR17" s="97">
        <v>5113810</v>
      </c>
      <c r="BS17" s="96">
        <v>1276958</v>
      </c>
      <c r="BT17" s="96">
        <v>1315635</v>
      </c>
      <c r="BU17" s="96">
        <v>1342271</v>
      </c>
      <c r="BV17" s="61">
        <v>1402306</v>
      </c>
      <c r="BW17" s="540">
        <v>5337170</v>
      </c>
    </row>
    <row r="18" ht="12.75">
      <c r="A18" s="98"/>
    </row>
    <row r="19" spans="1:75" ht="12.75">
      <c r="A19" s="95" t="s">
        <v>94</v>
      </c>
      <c r="B19" s="96">
        <v>3049</v>
      </c>
      <c r="C19" s="96">
        <v>-13835</v>
      </c>
      <c r="D19" s="96">
        <v>-7169</v>
      </c>
      <c r="E19" s="96">
        <v>14778</v>
      </c>
      <c r="F19" s="97">
        <v>-3177</v>
      </c>
      <c r="G19" s="96">
        <v>12186</v>
      </c>
      <c r="H19" s="96">
        <v>28975</v>
      </c>
      <c r="I19" s="96">
        <v>16821</v>
      </c>
      <c r="J19" s="96">
        <v>-813</v>
      </c>
      <c r="K19" s="97">
        <v>57169</v>
      </c>
      <c r="L19" s="96">
        <v>28147</v>
      </c>
      <c r="M19" s="96">
        <v>292</v>
      </c>
      <c r="N19" s="96">
        <v>28629</v>
      </c>
      <c r="O19" s="96">
        <v>26003</v>
      </c>
      <c r="P19" s="97">
        <v>83071</v>
      </c>
      <c r="Q19" s="96">
        <v>61821</v>
      </c>
      <c r="R19" s="96">
        <v>47684</v>
      </c>
      <c r="S19" s="96">
        <v>81643</v>
      </c>
      <c r="T19" s="96">
        <v>57623</v>
      </c>
      <c r="U19" s="97">
        <v>248771</v>
      </c>
      <c r="V19" s="96">
        <v>92420</v>
      </c>
      <c r="W19" s="96">
        <v>77425</v>
      </c>
      <c r="X19" s="96">
        <v>69861</v>
      </c>
      <c r="Y19" s="96">
        <v>64730</v>
      </c>
      <c r="Z19" s="97">
        <v>304436</v>
      </c>
      <c r="AA19" s="96">
        <v>155167</v>
      </c>
      <c r="AB19" s="96">
        <v>102326</v>
      </c>
      <c r="AC19" s="96">
        <v>94754</v>
      </c>
      <c r="AD19" s="96">
        <f t="shared" si="0"/>
        <v>42566</v>
      </c>
      <c r="AE19" s="97">
        <v>394813</v>
      </c>
      <c r="AF19" s="96">
        <v>75100</v>
      </c>
      <c r="AG19" s="96">
        <v>91538</v>
      </c>
      <c r="AH19" s="96">
        <v>95965</v>
      </c>
      <c r="AI19" s="96">
        <v>92902</v>
      </c>
      <c r="AJ19" s="97">
        <v>355505</v>
      </c>
      <c r="AK19" s="96">
        <v>67301</v>
      </c>
      <c r="AL19" s="96">
        <v>89093</v>
      </c>
      <c r="AM19" s="96">
        <v>36642</v>
      </c>
      <c r="AN19" s="96">
        <v>6376</v>
      </c>
      <c r="AO19" s="97">
        <v>199412</v>
      </c>
      <c r="AP19" s="96">
        <v>67409</v>
      </c>
      <c r="AQ19" s="96">
        <v>78846</v>
      </c>
      <c r="AR19" s="96">
        <v>40983</v>
      </c>
      <c r="AS19" s="316">
        <v>178943</v>
      </c>
      <c r="AT19" s="218">
        <v>56001</v>
      </c>
      <c r="AU19" s="316">
        <v>53436</v>
      </c>
      <c r="AV19" s="97">
        <v>243239</v>
      </c>
      <c r="AW19" s="291">
        <v>232379</v>
      </c>
      <c r="AX19" s="96">
        <v>59484</v>
      </c>
      <c r="AY19" s="96">
        <v>59530</v>
      </c>
      <c r="AZ19" s="96">
        <v>96086</v>
      </c>
      <c r="BA19" s="294">
        <v>83458</v>
      </c>
      <c r="BB19" s="294">
        <v>177731</v>
      </c>
      <c r="BC19" s="96">
        <v>62865</v>
      </c>
      <c r="BD19" s="97">
        <v>240596</v>
      </c>
      <c r="BE19" s="373">
        <v>48112</v>
      </c>
      <c r="BF19" s="96">
        <v>46161</v>
      </c>
      <c r="BG19" s="96">
        <v>83458</v>
      </c>
      <c r="BH19" s="96">
        <v>61327</v>
      </c>
      <c r="BI19" s="96">
        <v>62845</v>
      </c>
      <c r="BJ19" s="97">
        <v>239058</v>
      </c>
      <c r="BK19" s="97">
        <v>245478</v>
      </c>
      <c r="BL19" s="96">
        <v>109355.16641911003</v>
      </c>
      <c r="BM19" s="96">
        <v>78439</v>
      </c>
      <c r="BN19" s="96">
        <v>79630</v>
      </c>
      <c r="BO19" s="96">
        <v>50767</v>
      </c>
      <c r="BP19" s="96">
        <v>52506</v>
      </c>
      <c r="BQ19" s="96">
        <v>11690.986153018894</v>
      </c>
      <c r="BR19" s="97">
        <v>253182</v>
      </c>
      <c r="BS19" s="96">
        <v>83343</v>
      </c>
      <c r="BT19" s="96">
        <v>1064</v>
      </c>
      <c r="BU19" s="96">
        <v>103042</v>
      </c>
      <c r="BV19" s="96">
        <f>BV6-BV17</f>
        <v>33002</v>
      </c>
      <c r="BW19" s="97">
        <f>BW6-BW17</f>
        <v>220451</v>
      </c>
    </row>
    <row r="20" ht="12.75">
      <c r="A20" s="102"/>
    </row>
    <row r="21" spans="1:75" ht="12.75">
      <c r="A21" s="92" t="s">
        <v>95</v>
      </c>
      <c r="B21" s="88">
        <v>1187</v>
      </c>
      <c r="C21" s="88">
        <v>1432</v>
      </c>
      <c r="D21" s="88">
        <v>1367</v>
      </c>
      <c r="E21" s="88">
        <v>1112</v>
      </c>
      <c r="F21" s="93">
        <v>5098</v>
      </c>
      <c r="G21" s="88">
        <v>846</v>
      </c>
      <c r="H21" s="88">
        <v>822</v>
      </c>
      <c r="I21" s="88">
        <v>683</v>
      </c>
      <c r="J21" s="88">
        <v>2843</v>
      </c>
      <c r="K21" s="93">
        <v>5194</v>
      </c>
      <c r="L21" s="88">
        <v>637</v>
      </c>
      <c r="M21" s="88">
        <v>561</v>
      </c>
      <c r="N21" s="88">
        <v>753</v>
      </c>
      <c r="O21" s="88">
        <v>1104</v>
      </c>
      <c r="P21" s="93">
        <v>3055</v>
      </c>
      <c r="Q21" s="88">
        <v>1383</v>
      </c>
      <c r="R21" s="88">
        <v>737</v>
      </c>
      <c r="S21" s="88">
        <v>890</v>
      </c>
      <c r="T21" s="88">
        <v>1137</v>
      </c>
      <c r="U21" s="93">
        <v>4147</v>
      </c>
      <c r="V21" s="88">
        <v>993</v>
      </c>
      <c r="W21" s="88">
        <v>688</v>
      </c>
      <c r="X21" s="88">
        <v>623</v>
      </c>
      <c r="Y21" s="88">
        <v>1917</v>
      </c>
      <c r="Z21" s="93">
        <v>4221</v>
      </c>
      <c r="AA21" s="88">
        <v>1679</v>
      </c>
      <c r="AB21" s="88">
        <v>2888</v>
      </c>
      <c r="AC21" s="88">
        <v>3793</v>
      </c>
      <c r="AD21" s="88">
        <f t="shared" si="0"/>
        <v>4831</v>
      </c>
      <c r="AE21" s="93">
        <v>13191</v>
      </c>
      <c r="AF21" s="88">
        <v>4966</v>
      </c>
      <c r="AG21" s="88">
        <v>4841</v>
      </c>
      <c r="AH21" s="88">
        <v>1819</v>
      </c>
      <c r="AI21" s="88">
        <v>1744</v>
      </c>
      <c r="AJ21" s="93">
        <v>13370</v>
      </c>
      <c r="AK21" s="88">
        <v>3412</v>
      </c>
      <c r="AL21" s="88">
        <v>4364</v>
      </c>
      <c r="AM21" s="88">
        <v>4974</v>
      </c>
      <c r="AN21" s="88">
        <v>6555</v>
      </c>
      <c r="AO21" s="93">
        <v>19305</v>
      </c>
      <c r="AP21" s="88">
        <v>1971</v>
      </c>
      <c r="AQ21" s="88">
        <v>2469</v>
      </c>
      <c r="AR21" s="88">
        <v>4153</v>
      </c>
      <c r="AS21" s="295">
        <v>8593</v>
      </c>
      <c r="AT21" s="168">
        <v>2533</v>
      </c>
      <c r="AU21" s="295">
        <v>1941</v>
      </c>
      <c r="AV21" s="93">
        <v>11126</v>
      </c>
      <c r="AW21" s="101">
        <v>10534</v>
      </c>
      <c r="AX21" s="88">
        <v>1195</v>
      </c>
      <c r="AY21" s="88">
        <v>1548</v>
      </c>
      <c r="AZ21" s="88">
        <v>2145</v>
      </c>
      <c r="BA21" s="100">
        <v>2145</v>
      </c>
      <c r="BB21" s="100">
        <v>4888</v>
      </c>
      <c r="BC21" s="88">
        <v>2533</v>
      </c>
      <c r="BD21" s="93">
        <v>7421</v>
      </c>
      <c r="BE21" s="372">
        <v>1195</v>
      </c>
      <c r="BF21" s="88">
        <v>1548</v>
      </c>
      <c r="BG21" s="88">
        <v>2145</v>
      </c>
      <c r="BH21" s="88">
        <v>2549</v>
      </c>
      <c r="BI21" s="88">
        <v>2549</v>
      </c>
      <c r="BJ21" s="93">
        <v>7437</v>
      </c>
      <c r="BK21" s="93">
        <v>7437</v>
      </c>
      <c r="BL21" s="88">
        <v>1687</v>
      </c>
      <c r="BM21" s="88">
        <v>2508</v>
      </c>
      <c r="BN21" s="88">
        <v>2508</v>
      </c>
      <c r="BO21" s="88">
        <v>2633</v>
      </c>
      <c r="BP21" s="88">
        <v>2633</v>
      </c>
      <c r="BQ21" s="88">
        <v>2561</v>
      </c>
      <c r="BR21" s="93">
        <v>9389</v>
      </c>
      <c r="BS21" s="88">
        <v>1492</v>
      </c>
      <c r="BT21" s="88">
        <v>1534</v>
      </c>
      <c r="BU21" s="88">
        <v>1439</v>
      </c>
      <c r="BV21" s="68">
        <v>2360</v>
      </c>
      <c r="BW21" s="41">
        <v>6825</v>
      </c>
    </row>
    <row r="22" spans="1:75" ht="12.75">
      <c r="A22" s="92" t="s">
        <v>96</v>
      </c>
      <c r="B22" s="88">
        <v>28</v>
      </c>
      <c r="C22" s="88">
        <v>246</v>
      </c>
      <c r="D22" s="88">
        <v>136</v>
      </c>
      <c r="E22" s="88">
        <v>82</v>
      </c>
      <c r="F22" s="93">
        <v>492</v>
      </c>
      <c r="G22" s="88">
        <v>0</v>
      </c>
      <c r="H22" s="88">
        <v>317</v>
      </c>
      <c r="I22" s="88">
        <v>96</v>
      </c>
      <c r="J22" s="88">
        <v>17</v>
      </c>
      <c r="K22" s="93">
        <v>430</v>
      </c>
      <c r="L22" s="88">
        <v>77</v>
      </c>
      <c r="M22" s="88">
        <v>298</v>
      </c>
      <c r="N22" s="88">
        <v>221</v>
      </c>
      <c r="O22" s="88">
        <v>-322</v>
      </c>
      <c r="P22" s="93">
        <v>274</v>
      </c>
      <c r="Q22" s="88">
        <v>0</v>
      </c>
      <c r="R22" s="88">
        <v>170</v>
      </c>
      <c r="S22" s="88">
        <v>112</v>
      </c>
      <c r="T22" s="88">
        <v>-22</v>
      </c>
      <c r="U22" s="93">
        <v>260</v>
      </c>
      <c r="V22" s="88">
        <v>0</v>
      </c>
      <c r="W22" s="88">
        <v>5</v>
      </c>
      <c r="X22" s="88">
        <v>20</v>
      </c>
      <c r="Y22" s="88">
        <v>3</v>
      </c>
      <c r="Z22" s="93">
        <v>28</v>
      </c>
      <c r="AA22" s="88">
        <v>0</v>
      </c>
      <c r="AB22" s="88">
        <v>15</v>
      </c>
      <c r="AC22" s="88">
        <v>23</v>
      </c>
      <c r="AD22" s="88">
        <f t="shared" si="0"/>
        <v>17</v>
      </c>
      <c r="AE22" s="93">
        <v>55</v>
      </c>
      <c r="AF22" s="88" t="s">
        <v>294</v>
      </c>
      <c r="AG22" s="88">
        <v>79</v>
      </c>
      <c r="AH22" s="88">
        <v>0</v>
      </c>
      <c r="AI22" s="88">
        <v>2</v>
      </c>
      <c r="AJ22" s="93">
        <v>81</v>
      </c>
      <c r="AK22" s="88" t="s">
        <v>296</v>
      </c>
      <c r="AL22" s="88">
        <v>448</v>
      </c>
      <c r="AM22" s="88">
        <v>9</v>
      </c>
      <c r="AN22" s="88">
        <v>261</v>
      </c>
      <c r="AO22" s="93">
        <v>718</v>
      </c>
      <c r="AP22" s="168" t="s">
        <v>308</v>
      </c>
      <c r="AQ22" s="88">
        <v>410</v>
      </c>
      <c r="AR22" s="88">
        <v>14</v>
      </c>
      <c r="AS22" s="295">
        <v>424</v>
      </c>
      <c r="AT22" s="168">
        <v>6</v>
      </c>
      <c r="AU22" s="295">
        <v>6</v>
      </c>
      <c r="AV22" s="93">
        <v>430</v>
      </c>
      <c r="AW22" s="101">
        <v>430</v>
      </c>
      <c r="AX22" s="168">
        <v>83</v>
      </c>
      <c r="AY22" s="168">
        <v>411</v>
      </c>
      <c r="AZ22" s="168">
        <v>85</v>
      </c>
      <c r="BA22" s="295">
        <v>85</v>
      </c>
      <c r="BB22" s="295">
        <v>579</v>
      </c>
      <c r="BC22" s="168">
        <v>135</v>
      </c>
      <c r="BD22" s="93">
        <v>714</v>
      </c>
      <c r="BE22" s="374">
        <v>83</v>
      </c>
      <c r="BF22" s="168">
        <v>411</v>
      </c>
      <c r="BG22" s="168">
        <v>85</v>
      </c>
      <c r="BH22" s="168">
        <v>135</v>
      </c>
      <c r="BI22" s="168">
        <v>135</v>
      </c>
      <c r="BJ22" s="93">
        <v>714</v>
      </c>
      <c r="BK22" s="93">
        <v>714</v>
      </c>
      <c r="BL22" s="168">
        <v>35</v>
      </c>
      <c r="BM22" s="168">
        <v>2420</v>
      </c>
      <c r="BN22" s="168">
        <v>2420</v>
      </c>
      <c r="BO22" s="168">
        <v>276</v>
      </c>
      <c r="BP22" s="168">
        <v>276</v>
      </c>
      <c r="BQ22" s="168">
        <v>20</v>
      </c>
      <c r="BR22" s="93">
        <v>2751</v>
      </c>
      <c r="BS22" s="168">
        <v>42</v>
      </c>
      <c r="BT22" s="168">
        <v>3102</v>
      </c>
      <c r="BU22" s="168">
        <v>15</v>
      </c>
      <c r="BV22" s="209">
        <v>0</v>
      </c>
      <c r="BW22" s="41">
        <v>3159</v>
      </c>
    </row>
    <row r="23" spans="1:75" ht="12.75">
      <c r="A23" s="92" t="s">
        <v>102</v>
      </c>
      <c r="B23" s="88"/>
      <c r="C23" s="88"/>
      <c r="D23" s="88"/>
      <c r="E23" s="88"/>
      <c r="F23" s="93"/>
      <c r="G23" s="88"/>
      <c r="H23" s="88"/>
      <c r="I23" s="88"/>
      <c r="J23" s="88"/>
      <c r="K23" s="93"/>
      <c r="L23" s="88"/>
      <c r="M23" s="88"/>
      <c r="N23" s="88"/>
      <c r="O23" s="88"/>
      <c r="P23" s="93"/>
      <c r="Q23" s="88"/>
      <c r="R23" s="88"/>
      <c r="S23" s="88"/>
      <c r="T23" s="88"/>
      <c r="U23" s="93"/>
      <c r="V23" s="88"/>
      <c r="W23" s="88"/>
      <c r="X23" s="88"/>
      <c r="Y23" s="88"/>
      <c r="Z23" s="93"/>
      <c r="AA23" s="88"/>
      <c r="AB23" s="88"/>
      <c r="AC23" s="88">
        <v>851</v>
      </c>
      <c r="AD23" s="88">
        <f t="shared" si="0"/>
        <v>-851</v>
      </c>
      <c r="AE23" s="93">
        <v>0</v>
      </c>
      <c r="AF23" s="88">
        <v>542</v>
      </c>
      <c r="AG23" s="88">
        <v>-542</v>
      </c>
      <c r="AH23" s="88">
        <v>0</v>
      </c>
      <c r="AI23" s="88"/>
      <c r="AJ23" s="93" t="s">
        <v>294</v>
      </c>
      <c r="AK23" s="88">
        <v>5737</v>
      </c>
      <c r="AL23" s="88">
        <v>2424</v>
      </c>
      <c r="AM23" s="88">
        <v>22590</v>
      </c>
      <c r="AN23" s="88">
        <v>33798</v>
      </c>
      <c r="AO23" s="93">
        <v>64549</v>
      </c>
      <c r="AP23" s="168" t="s">
        <v>308</v>
      </c>
      <c r="AQ23" s="168" t="s">
        <v>296</v>
      </c>
      <c r="AR23" s="168" t="s">
        <v>294</v>
      </c>
      <c r="AS23" s="295">
        <v>0</v>
      </c>
      <c r="AT23" s="168" t="s">
        <v>294</v>
      </c>
      <c r="AU23" s="295">
        <v>0</v>
      </c>
      <c r="AV23" s="93" t="s">
        <v>296</v>
      </c>
      <c r="AW23" s="101">
        <v>0</v>
      </c>
      <c r="AX23" s="168">
        <v>0</v>
      </c>
      <c r="AY23" s="168">
        <v>0</v>
      </c>
      <c r="AZ23" s="168"/>
      <c r="BA23" s="295"/>
      <c r="BB23" s="295">
        <v>0</v>
      </c>
      <c r="BC23" s="168">
        <v>0</v>
      </c>
      <c r="BD23" s="93">
        <v>0</v>
      </c>
      <c r="BE23" s="374">
        <v>0</v>
      </c>
      <c r="BF23" s="168">
        <v>3721</v>
      </c>
      <c r="BG23" s="168">
        <v>0</v>
      </c>
      <c r="BH23" s="168">
        <v>0</v>
      </c>
      <c r="BI23" s="168">
        <v>0</v>
      </c>
      <c r="BJ23" s="93">
        <v>0</v>
      </c>
      <c r="BK23" s="93">
        <v>0</v>
      </c>
      <c r="BL23" s="168">
        <v>0</v>
      </c>
      <c r="BM23" s="168">
        <v>14788</v>
      </c>
      <c r="BN23" s="168">
        <v>14788</v>
      </c>
      <c r="BO23" s="168">
        <v>20034</v>
      </c>
      <c r="BP23" s="168">
        <v>20034</v>
      </c>
      <c r="BQ23" s="168">
        <v>-14532</v>
      </c>
      <c r="BR23" s="93">
        <v>10548</v>
      </c>
      <c r="BS23" s="168">
        <v>7680</v>
      </c>
      <c r="BT23" s="168">
        <v>-5784</v>
      </c>
      <c r="BU23" s="168">
        <v>-518</v>
      </c>
      <c r="BV23" s="209">
        <v>10386</v>
      </c>
      <c r="BW23" s="41">
        <v>11764</v>
      </c>
    </row>
    <row r="24" spans="1:75" ht="12.75">
      <c r="A24" s="538" t="s">
        <v>621</v>
      </c>
      <c r="B24" s="88"/>
      <c r="C24" s="88"/>
      <c r="D24" s="88"/>
      <c r="E24" s="88"/>
      <c r="F24" s="93"/>
      <c r="G24" s="88"/>
      <c r="H24" s="88"/>
      <c r="I24" s="88"/>
      <c r="J24" s="88"/>
      <c r="K24" s="93"/>
      <c r="L24" s="88"/>
      <c r="M24" s="88"/>
      <c r="N24" s="88"/>
      <c r="O24" s="88"/>
      <c r="P24" s="93"/>
      <c r="Q24" s="88"/>
      <c r="R24" s="88"/>
      <c r="S24" s="88"/>
      <c r="T24" s="88"/>
      <c r="U24" s="93"/>
      <c r="V24" s="88"/>
      <c r="W24" s="88"/>
      <c r="X24" s="88"/>
      <c r="Y24" s="88"/>
      <c r="Z24" s="93"/>
      <c r="AA24" s="88"/>
      <c r="AB24" s="88"/>
      <c r="AC24" s="88"/>
      <c r="AD24" s="88"/>
      <c r="AE24" s="93"/>
      <c r="AF24" s="88"/>
      <c r="AG24" s="88"/>
      <c r="AH24" s="88"/>
      <c r="AI24" s="88"/>
      <c r="AJ24" s="93"/>
      <c r="AK24" s="88"/>
      <c r="AL24" s="88"/>
      <c r="AM24" s="88"/>
      <c r="AN24" s="88"/>
      <c r="AO24" s="93"/>
      <c r="AP24" s="168"/>
      <c r="AQ24" s="168"/>
      <c r="AR24" s="168"/>
      <c r="AS24" s="295"/>
      <c r="AT24" s="168"/>
      <c r="AU24" s="295"/>
      <c r="AV24" s="93"/>
      <c r="AW24" s="101"/>
      <c r="AX24" s="168"/>
      <c r="AY24" s="168"/>
      <c r="AZ24" s="168"/>
      <c r="BA24" s="295"/>
      <c r="BB24" s="295"/>
      <c r="BC24" s="168"/>
      <c r="BD24" s="93"/>
      <c r="BE24" s="374"/>
      <c r="BF24" s="168"/>
      <c r="BG24" s="168"/>
      <c r="BH24" s="168"/>
      <c r="BI24" s="168"/>
      <c r="BJ24" s="93"/>
      <c r="BK24" s="93"/>
      <c r="BL24" s="168"/>
      <c r="BM24" s="168"/>
      <c r="BN24" s="168"/>
      <c r="BO24" s="168"/>
      <c r="BP24" s="168"/>
      <c r="BQ24" s="168"/>
      <c r="BR24" s="93"/>
      <c r="BS24" s="168"/>
      <c r="BT24" s="168"/>
      <c r="BU24" s="168"/>
      <c r="BV24" s="209">
        <v>0</v>
      </c>
      <c r="BW24" s="41">
        <v>0</v>
      </c>
    </row>
    <row r="25" spans="1:75" ht="12.75">
      <c r="A25" s="92" t="s">
        <v>97</v>
      </c>
      <c r="B25" s="88">
        <v>1072</v>
      </c>
      <c r="C25" s="88">
        <v>13861</v>
      </c>
      <c r="D25" s="88">
        <v>-1176</v>
      </c>
      <c r="E25" s="88">
        <v>4088</v>
      </c>
      <c r="F25" s="93">
        <v>17845</v>
      </c>
      <c r="G25" s="88">
        <v>3251</v>
      </c>
      <c r="H25" s="88">
        <v>9578</v>
      </c>
      <c r="I25" s="88">
        <v>2207</v>
      </c>
      <c r="J25" s="88">
        <v>9626</v>
      </c>
      <c r="K25" s="93">
        <v>24662</v>
      </c>
      <c r="L25" s="88">
        <v>612</v>
      </c>
      <c r="M25" s="88">
        <v>2832</v>
      </c>
      <c r="N25" s="88">
        <v>-444</v>
      </c>
      <c r="O25" s="88">
        <v>3586</v>
      </c>
      <c r="P25" s="93">
        <v>6586</v>
      </c>
      <c r="Q25" s="88">
        <v>11137</v>
      </c>
      <c r="R25" s="88">
        <v>-5333</v>
      </c>
      <c r="S25" s="88">
        <v>10103</v>
      </c>
      <c r="T25" s="88">
        <v>16171</v>
      </c>
      <c r="U25" s="93">
        <v>32078</v>
      </c>
      <c r="V25" s="88">
        <v>922</v>
      </c>
      <c r="W25" s="88">
        <v>1013</v>
      </c>
      <c r="X25" s="88">
        <v>595</v>
      </c>
      <c r="Y25" s="88">
        <v>1655</v>
      </c>
      <c r="Z25" s="93">
        <v>4185</v>
      </c>
      <c r="AA25" s="88">
        <v>121</v>
      </c>
      <c r="AB25" s="88">
        <v>295</v>
      </c>
      <c r="AC25" s="88">
        <v>3080</v>
      </c>
      <c r="AD25" s="88">
        <f t="shared" si="0"/>
        <v>934</v>
      </c>
      <c r="AE25" s="93">
        <v>4430</v>
      </c>
      <c r="AF25" s="88">
        <v>3640</v>
      </c>
      <c r="AG25" s="88">
        <v>2776</v>
      </c>
      <c r="AH25" s="88">
        <v>-1214</v>
      </c>
      <c r="AI25" s="88">
        <v>3443</v>
      </c>
      <c r="AJ25" s="93">
        <v>8645</v>
      </c>
      <c r="AK25" s="88">
        <v>3637</v>
      </c>
      <c r="AL25" s="88">
        <v>67384</v>
      </c>
      <c r="AM25" s="88">
        <v>-37526</v>
      </c>
      <c r="AN25" s="88">
        <v>-3003</v>
      </c>
      <c r="AO25" s="93">
        <v>30492</v>
      </c>
      <c r="AP25" s="88">
        <v>553</v>
      </c>
      <c r="AQ25" s="88">
        <v>-232</v>
      </c>
      <c r="AR25" s="88">
        <v>16445</v>
      </c>
      <c r="AS25" s="295">
        <v>16097</v>
      </c>
      <c r="AT25" s="168">
        <v>-12779</v>
      </c>
      <c r="AU25" s="295">
        <v>-10673</v>
      </c>
      <c r="AV25" s="93">
        <v>3987</v>
      </c>
      <c r="AW25" s="101">
        <v>5424</v>
      </c>
      <c r="AX25" s="88">
        <v>5990</v>
      </c>
      <c r="AY25" s="88">
        <v>9085</v>
      </c>
      <c r="AZ25" s="88">
        <v>2992</v>
      </c>
      <c r="BA25" s="100">
        <v>2992</v>
      </c>
      <c r="BB25" s="100">
        <v>18067</v>
      </c>
      <c r="BC25" s="88">
        <v>-4771</v>
      </c>
      <c r="BD25" s="93">
        <v>13296</v>
      </c>
      <c r="BE25" s="372">
        <v>5990</v>
      </c>
      <c r="BF25" s="88">
        <v>9085</v>
      </c>
      <c r="BG25" s="88">
        <v>2992</v>
      </c>
      <c r="BH25" s="88">
        <v>-346</v>
      </c>
      <c r="BI25" s="88">
        <v>-545</v>
      </c>
      <c r="BJ25" s="93">
        <v>17721</v>
      </c>
      <c r="BK25" s="93">
        <v>16580</v>
      </c>
      <c r="BL25" s="88">
        <v>53174</v>
      </c>
      <c r="BM25" s="88">
        <v>-1385</v>
      </c>
      <c r="BN25" s="88">
        <v>-1699</v>
      </c>
      <c r="BO25" s="88">
        <v>5343</v>
      </c>
      <c r="BP25" s="88">
        <v>5046</v>
      </c>
      <c r="BQ25" s="88">
        <v>939</v>
      </c>
      <c r="BR25" s="93">
        <v>57460</v>
      </c>
      <c r="BS25" s="88">
        <v>2747</v>
      </c>
      <c r="BT25" s="88">
        <v>1416</v>
      </c>
      <c r="BU25" s="88">
        <v>9997</v>
      </c>
      <c r="BV25" s="68">
        <v>-9162</v>
      </c>
      <c r="BW25" s="41">
        <v>4998</v>
      </c>
    </row>
    <row r="26" spans="1:75" ht="12.75">
      <c r="A26" s="103" t="s">
        <v>98</v>
      </c>
      <c r="B26" s="96">
        <v>2287</v>
      </c>
      <c r="C26" s="96">
        <v>15539</v>
      </c>
      <c r="D26" s="96">
        <v>327</v>
      </c>
      <c r="E26" s="96">
        <v>5282</v>
      </c>
      <c r="F26" s="97">
        <v>23435</v>
      </c>
      <c r="G26" s="96">
        <v>4097</v>
      </c>
      <c r="H26" s="96">
        <v>10717</v>
      </c>
      <c r="I26" s="96">
        <v>2986</v>
      </c>
      <c r="J26" s="96">
        <v>12486</v>
      </c>
      <c r="K26" s="97">
        <v>30286</v>
      </c>
      <c r="L26" s="96">
        <v>1326</v>
      </c>
      <c r="M26" s="96">
        <v>3691</v>
      </c>
      <c r="N26" s="96">
        <v>530</v>
      </c>
      <c r="O26" s="96">
        <v>4368</v>
      </c>
      <c r="P26" s="97">
        <v>9915</v>
      </c>
      <c r="Q26" s="96">
        <v>12520</v>
      </c>
      <c r="R26" s="96">
        <v>-4426</v>
      </c>
      <c r="S26" s="96">
        <v>11105</v>
      </c>
      <c r="T26" s="96">
        <v>17286</v>
      </c>
      <c r="U26" s="97">
        <v>36485</v>
      </c>
      <c r="V26" s="96">
        <v>1915</v>
      </c>
      <c r="W26" s="96">
        <v>1706</v>
      </c>
      <c r="X26" s="96">
        <v>1238</v>
      </c>
      <c r="Y26" s="96">
        <v>3575</v>
      </c>
      <c r="Z26" s="97">
        <v>8434</v>
      </c>
      <c r="AA26" s="96">
        <v>1800</v>
      </c>
      <c r="AB26" s="96">
        <v>3198</v>
      </c>
      <c r="AC26" s="96">
        <v>7747</v>
      </c>
      <c r="AD26" s="96">
        <f t="shared" si="0"/>
        <v>4931</v>
      </c>
      <c r="AE26" s="97">
        <v>17676</v>
      </c>
      <c r="AF26" s="96">
        <v>9148</v>
      </c>
      <c r="AG26" s="96">
        <v>7154</v>
      </c>
      <c r="AH26" s="96">
        <v>605</v>
      </c>
      <c r="AI26" s="96">
        <v>5189</v>
      </c>
      <c r="AJ26" s="97">
        <v>22096</v>
      </c>
      <c r="AK26" s="96">
        <v>12786</v>
      </c>
      <c r="AL26" s="96">
        <v>74620</v>
      </c>
      <c r="AM26" s="96">
        <v>-9953</v>
      </c>
      <c r="AN26" s="96">
        <v>37611</v>
      </c>
      <c r="AO26" s="97">
        <v>115064</v>
      </c>
      <c r="AP26" s="96">
        <v>2524</v>
      </c>
      <c r="AQ26" s="96">
        <v>2647</v>
      </c>
      <c r="AR26" s="96">
        <v>20612</v>
      </c>
      <c r="AS26" s="316">
        <v>25114</v>
      </c>
      <c r="AT26" s="218">
        <v>-10240</v>
      </c>
      <c r="AU26" s="316">
        <v>-8726</v>
      </c>
      <c r="AV26" s="97">
        <v>15543</v>
      </c>
      <c r="AW26" s="291">
        <v>16388</v>
      </c>
      <c r="AX26" s="96">
        <v>7268</v>
      </c>
      <c r="AY26" s="96">
        <v>11044</v>
      </c>
      <c r="AZ26" s="96">
        <v>5222</v>
      </c>
      <c r="BA26" s="294">
        <v>5222</v>
      </c>
      <c r="BB26" s="294">
        <v>23534</v>
      </c>
      <c r="BC26" s="96">
        <v>-2103</v>
      </c>
      <c r="BD26" s="97">
        <v>21431</v>
      </c>
      <c r="BE26" s="373">
        <v>7268</v>
      </c>
      <c r="BF26" s="96">
        <v>14765</v>
      </c>
      <c r="BG26" s="96">
        <v>5222</v>
      </c>
      <c r="BH26" s="96">
        <v>2338</v>
      </c>
      <c r="BI26" s="96">
        <v>2139</v>
      </c>
      <c r="BJ26" s="97">
        <v>25872</v>
      </c>
      <c r="BK26" s="97">
        <v>24731</v>
      </c>
      <c r="BL26" s="96">
        <v>54896</v>
      </c>
      <c r="BM26" s="96">
        <v>18331</v>
      </c>
      <c r="BN26" s="96">
        <v>18017</v>
      </c>
      <c r="BO26" s="96">
        <v>28286</v>
      </c>
      <c r="BP26" s="96">
        <v>27989</v>
      </c>
      <c r="BQ26" s="96">
        <v>-11012</v>
      </c>
      <c r="BR26" s="97">
        <v>80148</v>
      </c>
      <c r="BS26" s="96">
        <v>11961</v>
      </c>
      <c r="BT26" s="96">
        <v>268</v>
      </c>
      <c r="BU26" s="96">
        <v>10933</v>
      </c>
      <c r="BV26" s="61">
        <v>3584</v>
      </c>
      <c r="BW26" s="97">
        <f>SUM(BW21:BW25)</f>
        <v>26746</v>
      </c>
    </row>
    <row r="27" spans="1:75" ht="12.75">
      <c r="A27" s="98"/>
      <c r="AS27" s="295"/>
      <c r="AT27" s="168"/>
      <c r="AU27" s="295"/>
      <c r="AV27" s="93"/>
      <c r="AW27" s="101"/>
      <c r="BD27" s="93"/>
      <c r="BJ27" s="93"/>
      <c r="BK27" s="93"/>
      <c r="BR27" s="93"/>
      <c r="BW27" s="93"/>
    </row>
    <row r="28" spans="1:75" ht="12.75">
      <c r="A28" s="92" t="s">
        <v>99</v>
      </c>
      <c r="B28" s="88">
        <v>5775</v>
      </c>
      <c r="C28" s="88">
        <v>6139</v>
      </c>
      <c r="D28" s="88">
        <v>5629</v>
      </c>
      <c r="E28" s="88">
        <v>2736</v>
      </c>
      <c r="F28" s="93">
        <v>20279</v>
      </c>
      <c r="G28" s="88">
        <v>4427</v>
      </c>
      <c r="H28" s="88">
        <v>4259</v>
      </c>
      <c r="I28" s="88">
        <v>4116</v>
      </c>
      <c r="J28" s="88">
        <v>4562</v>
      </c>
      <c r="K28" s="93">
        <v>17364</v>
      </c>
      <c r="L28" s="88">
        <v>3175</v>
      </c>
      <c r="M28" s="88">
        <v>4087</v>
      </c>
      <c r="N28" s="88">
        <v>4333</v>
      </c>
      <c r="O28" s="88">
        <v>5200</v>
      </c>
      <c r="P28" s="93">
        <v>16795</v>
      </c>
      <c r="Q28" s="88">
        <v>5395</v>
      </c>
      <c r="R28" s="88">
        <v>3741</v>
      </c>
      <c r="S28" s="88">
        <v>4004</v>
      </c>
      <c r="T28" s="88">
        <v>3644</v>
      </c>
      <c r="U28" s="93">
        <v>16784</v>
      </c>
      <c r="V28" s="88">
        <v>3220</v>
      </c>
      <c r="W28" s="88">
        <v>2873</v>
      </c>
      <c r="X28" s="88">
        <v>3190</v>
      </c>
      <c r="Y28" s="88">
        <v>3566</v>
      </c>
      <c r="Z28" s="93">
        <v>12849</v>
      </c>
      <c r="AA28" s="88">
        <v>5108</v>
      </c>
      <c r="AB28" s="88">
        <v>3378</v>
      </c>
      <c r="AC28" s="88">
        <v>2934</v>
      </c>
      <c r="AD28" s="88">
        <f t="shared" si="0"/>
        <v>2007</v>
      </c>
      <c r="AE28" s="93">
        <v>13427</v>
      </c>
      <c r="AF28" s="88">
        <v>3270</v>
      </c>
      <c r="AG28" s="88">
        <v>3364</v>
      </c>
      <c r="AH28" s="88">
        <v>3434</v>
      </c>
      <c r="AI28" s="88">
        <v>6878</v>
      </c>
      <c r="AJ28" s="93">
        <v>16946</v>
      </c>
      <c r="AK28" s="88">
        <v>9995</v>
      </c>
      <c r="AL28" s="88">
        <v>10038</v>
      </c>
      <c r="AM28" s="88">
        <v>11251</v>
      </c>
      <c r="AN28" s="88">
        <v>6611</v>
      </c>
      <c r="AO28" s="93">
        <v>37895</v>
      </c>
      <c r="AP28" s="88">
        <v>6304</v>
      </c>
      <c r="AQ28" s="88">
        <v>5784</v>
      </c>
      <c r="AR28" s="88">
        <v>4743</v>
      </c>
      <c r="AS28" s="100">
        <v>16831</v>
      </c>
      <c r="AT28" s="88">
        <v>6175</v>
      </c>
      <c r="AU28" s="100">
        <v>6459</v>
      </c>
      <c r="AV28" s="93">
        <v>23006</v>
      </c>
      <c r="AW28" s="101">
        <v>23290</v>
      </c>
      <c r="AX28" s="88">
        <v>4656</v>
      </c>
      <c r="AY28" s="88">
        <v>8341</v>
      </c>
      <c r="AZ28" s="88">
        <v>13114</v>
      </c>
      <c r="BA28" s="100">
        <v>13114</v>
      </c>
      <c r="BB28" s="100">
        <v>26111</v>
      </c>
      <c r="BC28" s="88">
        <v>8466</v>
      </c>
      <c r="BD28" s="93">
        <v>34577</v>
      </c>
      <c r="BE28" s="372">
        <v>4656</v>
      </c>
      <c r="BF28" s="88">
        <v>8341</v>
      </c>
      <c r="BG28" s="88">
        <v>13114</v>
      </c>
      <c r="BH28" s="88">
        <v>8425</v>
      </c>
      <c r="BI28" s="88">
        <v>8425</v>
      </c>
      <c r="BJ28" s="93">
        <v>34536</v>
      </c>
      <c r="BK28" s="93">
        <v>34536</v>
      </c>
      <c r="BL28" s="88">
        <v>9102</v>
      </c>
      <c r="BM28" s="88">
        <v>10127</v>
      </c>
      <c r="BN28" s="88">
        <v>10127</v>
      </c>
      <c r="BO28" s="88">
        <v>9094</v>
      </c>
      <c r="BP28" s="88">
        <v>9094</v>
      </c>
      <c r="BQ28" s="88">
        <v>12848</v>
      </c>
      <c r="BR28" s="93">
        <v>41171</v>
      </c>
      <c r="BS28" s="88">
        <v>10791</v>
      </c>
      <c r="BT28" s="88">
        <v>11862</v>
      </c>
      <c r="BU28" s="88">
        <v>10455</v>
      </c>
      <c r="BV28" s="68">
        <v>13010</v>
      </c>
      <c r="BW28" s="41">
        <v>46118</v>
      </c>
    </row>
    <row r="29" spans="1:75" ht="12.75">
      <c r="A29" s="92" t="s">
        <v>100</v>
      </c>
      <c r="B29" s="88">
        <v>1181</v>
      </c>
      <c r="C29" s="88">
        <v>1144</v>
      </c>
      <c r="D29" s="88">
        <v>1149</v>
      </c>
      <c r="E29" s="88">
        <v>1027</v>
      </c>
      <c r="F29" s="93">
        <v>4501</v>
      </c>
      <c r="G29" s="88">
        <v>1087</v>
      </c>
      <c r="H29" s="88">
        <v>1049</v>
      </c>
      <c r="I29" s="88">
        <v>1007</v>
      </c>
      <c r="J29" s="88">
        <v>1226</v>
      </c>
      <c r="K29" s="93">
        <v>4369</v>
      </c>
      <c r="L29" s="88">
        <v>1250</v>
      </c>
      <c r="M29" s="88">
        <v>1250</v>
      </c>
      <c r="N29" s="88">
        <v>1254</v>
      </c>
      <c r="O29" s="88">
        <v>1331</v>
      </c>
      <c r="P29" s="93">
        <v>5085</v>
      </c>
      <c r="Q29" s="88">
        <v>1294</v>
      </c>
      <c r="R29" s="88">
        <v>1303</v>
      </c>
      <c r="S29" s="88">
        <v>1204</v>
      </c>
      <c r="T29" s="88">
        <v>1187</v>
      </c>
      <c r="U29" s="93">
        <v>4988</v>
      </c>
      <c r="V29" s="88">
        <v>1162</v>
      </c>
      <c r="W29" s="88">
        <v>1298</v>
      </c>
      <c r="X29" s="88">
        <v>1214</v>
      </c>
      <c r="Y29" s="88">
        <v>1128</v>
      </c>
      <c r="Z29" s="93">
        <v>4802</v>
      </c>
      <c r="AA29" s="88">
        <v>1546</v>
      </c>
      <c r="AB29" s="88">
        <v>1496</v>
      </c>
      <c r="AC29" s="88">
        <v>1529</v>
      </c>
      <c r="AD29" s="88">
        <f t="shared" si="0"/>
        <v>1542</v>
      </c>
      <c r="AE29" s="93">
        <v>6113</v>
      </c>
      <c r="AF29" s="88">
        <v>1106</v>
      </c>
      <c r="AG29" s="88">
        <v>1715</v>
      </c>
      <c r="AH29" s="88">
        <v>573</v>
      </c>
      <c r="AI29" s="88">
        <v>1378</v>
      </c>
      <c r="AJ29" s="93">
        <v>4772</v>
      </c>
      <c r="AK29" s="88">
        <v>1164</v>
      </c>
      <c r="AL29" s="88">
        <v>1892</v>
      </c>
      <c r="AM29" s="88">
        <v>1585</v>
      </c>
      <c r="AN29" s="88">
        <v>1604</v>
      </c>
      <c r="AO29" s="93">
        <v>6245</v>
      </c>
      <c r="AP29" s="88">
        <v>1962</v>
      </c>
      <c r="AQ29" s="88">
        <v>1978</v>
      </c>
      <c r="AR29" s="88">
        <v>4148</v>
      </c>
      <c r="AS29" s="100">
        <v>8088</v>
      </c>
      <c r="AT29" s="88">
        <v>4546</v>
      </c>
      <c r="AU29" s="100">
        <v>4545</v>
      </c>
      <c r="AV29" s="93">
        <v>12634</v>
      </c>
      <c r="AW29" s="101">
        <v>12633</v>
      </c>
      <c r="AX29" s="88">
        <v>4676</v>
      </c>
      <c r="AY29" s="88">
        <v>4124</v>
      </c>
      <c r="AZ29" s="88">
        <v>3816</v>
      </c>
      <c r="BA29" s="100">
        <v>3816</v>
      </c>
      <c r="BB29" s="100">
        <v>12616</v>
      </c>
      <c r="BC29" s="88">
        <v>3603</v>
      </c>
      <c r="BD29" s="93">
        <v>16219</v>
      </c>
      <c r="BE29" s="372">
        <v>4676</v>
      </c>
      <c r="BF29" s="88">
        <v>4124</v>
      </c>
      <c r="BG29" s="88">
        <v>3816</v>
      </c>
      <c r="BH29" s="88">
        <v>3603</v>
      </c>
      <c r="BI29" s="88">
        <v>3603</v>
      </c>
      <c r="BJ29" s="93">
        <v>16219</v>
      </c>
      <c r="BK29" s="93">
        <v>16219</v>
      </c>
      <c r="BL29" s="88">
        <v>2983</v>
      </c>
      <c r="BM29" s="88">
        <v>2949</v>
      </c>
      <c r="BN29" s="88">
        <v>2949</v>
      </c>
      <c r="BO29" s="88">
        <v>3613</v>
      </c>
      <c r="BP29" s="88">
        <v>3613</v>
      </c>
      <c r="BQ29" s="88">
        <v>4063</v>
      </c>
      <c r="BR29" s="93">
        <v>13608</v>
      </c>
      <c r="BS29" s="88">
        <v>3151</v>
      </c>
      <c r="BT29" s="88">
        <v>3110</v>
      </c>
      <c r="BU29" s="88">
        <v>3647</v>
      </c>
      <c r="BV29" s="68">
        <v>3502</v>
      </c>
      <c r="BW29" s="41">
        <v>13410</v>
      </c>
    </row>
    <row r="30" spans="1:75" ht="12.75">
      <c r="A30" s="92" t="s">
        <v>101</v>
      </c>
      <c r="B30" s="88">
        <v>61</v>
      </c>
      <c r="C30" s="88">
        <v>0</v>
      </c>
      <c r="D30" s="88">
        <v>11</v>
      </c>
      <c r="E30" s="88">
        <v>1196</v>
      </c>
      <c r="F30" s="93">
        <v>1268</v>
      </c>
      <c r="G30" s="88">
        <v>0</v>
      </c>
      <c r="H30" s="88">
        <v>0</v>
      </c>
      <c r="I30" s="88">
        <v>37</v>
      </c>
      <c r="J30" s="88">
        <v>653</v>
      </c>
      <c r="K30" s="93">
        <v>690</v>
      </c>
      <c r="L30" s="88">
        <v>0</v>
      </c>
      <c r="M30" s="88">
        <v>-157</v>
      </c>
      <c r="N30" s="88">
        <v>652</v>
      </c>
      <c r="O30" s="88">
        <v>239</v>
      </c>
      <c r="P30" s="93">
        <v>734</v>
      </c>
      <c r="Q30" s="88">
        <v>0</v>
      </c>
      <c r="R30" s="88">
        <v>149</v>
      </c>
      <c r="S30" s="88">
        <v>1</v>
      </c>
      <c r="T30" s="88">
        <v>253</v>
      </c>
      <c r="U30" s="93">
        <v>403</v>
      </c>
      <c r="V30" s="88">
        <v>0</v>
      </c>
      <c r="W30" s="88">
        <v>18</v>
      </c>
      <c r="X30" s="88">
        <v>-36</v>
      </c>
      <c r="Y30" s="88">
        <v>1</v>
      </c>
      <c r="Z30" s="93">
        <v>-17</v>
      </c>
      <c r="AA30" s="88">
        <v>0</v>
      </c>
      <c r="AB30" s="88">
        <v>0</v>
      </c>
      <c r="AC30" s="88"/>
      <c r="AD30" s="88">
        <f t="shared" si="0"/>
        <v>0</v>
      </c>
      <c r="AE30" s="93">
        <v>0</v>
      </c>
      <c r="AF30" s="88"/>
      <c r="AG30" s="88">
        <v>0</v>
      </c>
      <c r="AH30" s="88">
        <v>0</v>
      </c>
      <c r="AI30" s="88"/>
      <c r="AJ30" s="93"/>
      <c r="AK30" s="88"/>
      <c r="AL30" s="88"/>
      <c r="AM30" s="88"/>
      <c r="AN30" s="88" t="s">
        <v>296</v>
      </c>
      <c r="AO30" s="97"/>
      <c r="AP30" s="88" t="s">
        <v>308</v>
      </c>
      <c r="AQ30" s="88"/>
      <c r="AR30" s="88"/>
      <c r="AS30" s="100">
        <v>0</v>
      </c>
      <c r="AT30" s="88"/>
      <c r="AU30" s="100"/>
      <c r="AV30" s="93"/>
      <c r="AW30" s="101"/>
      <c r="BD30" s="93"/>
      <c r="BJ30" s="93"/>
      <c r="BK30" s="93"/>
      <c r="BR30" s="93"/>
      <c r="BW30" s="93"/>
    </row>
    <row r="31" spans="1:75" ht="12.75">
      <c r="A31" s="92" t="s">
        <v>102</v>
      </c>
      <c r="B31" s="88">
        <v>0</v>
      </c>
      <c r="C31" s="88">
        <v>0</v>
      </c>
      <c r="D31" s="88">
        <v>0</v>
      </c>
      <c r="E31" s="88">
        <v>0</v>
      </c>
      <c r="F31" s="93">
        <v>0</v>
      </c>
      <c r="G31" s="88">
        <v>0</v>
      </c>
      <c r="H31" s="88">
        <v>0</v>
      </c>
      <c r="I31" s="88">
        <v>0</v>
      </c>
      <c r="J31" s="88">
        <v>0</v>
      </c>
      <c r="K31" s="93">
        <v>0</v>
      </c>
      <c r="L31" s="88">
        <v>0</v>
      </c>
      <c r="M31" s="88">
        <v>0</v>
      </c>
      <c r="N31" s="88">
        <v>0</v>
      </c>
      <c r="O31" s="88">
        <v>0</v>
      </c>
      <c r="P31" s="93">
        <v>0</v>
      </c>
      <c r="Q31" s="88">
        <v>0</v>
      </c>
      <c r="R31" s="88">
        <v>0</v>
      </c>
      <c r="S31" s="88">
        <v>0</v>
      </c>
      <c r="T31" s="88">
        <v>0</v>
      </c>
      <c r="U31" s="93">
        <v>0</v>
      </c>
      <c r="V31" s="88">
        <v>0</v>
      </c>
      <c r="W31" s="88">
        <v>0</v>
      </c>
      <c r="X31" s="88">
        <v>0</v>
      </c>
      <c r="Y31" s="88">
        <v>0</v>
      </c>
      <c r="Z31" s="93">
        <v>0</v>
      </c>
      <c r="AA31" s="88">
        <v>6585</v>
      </c>
      <c r="AB31" s="88">
        <v>-1632</v>
      </c>
      <c r="AC31" s="88">
        <v>-4953</v>
      </c>
      <c r="AD31" s="88">
        <f t="shared" si="0"/>
        <v>14131</v>
      </c>
      <c r="AE31" s="93">
        <v>14131</v>
      </c>
      <c r="AF31" s="88" t="s">
        <v>296</v>
      </c>
      <c r="AG31" s="88">
        <v>36793</v>
      </c>
      <c r="AH31" s="88">
        <v>-7160</v>
      </c>
      <c r="AI31" s="88">
        <v>-16667</v>
      </c>
      <c r="AJ31" s="93">
        <v>12966</v>
      </c>
      <c r="AK31" s="88" t="s">
        <v>296</v>
      </c>
      <c r="AL31" s="88" t="s">
        <v>308</v>
      </c>
      <c r="AM31" s="88" t="s">
        <v>296</v>
      </c>
      <c r="AN31" s="88" t="s">
        <v>296</v>
      </c>
      <c r="AO31" s="93"/>
      <c r="AP31" s="88" t="s">
        <v>308</v>
      </c>
      <c r="AQ31" s="168" t="s">
        <v>296</v>
      </c>
      <c r="AR31" s="88">
        <v>10994</v>
      </c>
      <c r="AS31" s="100">
        <v>10994</v>
      </c>
      <c r="AT31" s="88">
        <v>8704</v>
      </c>
      <c r="AU31" s="100">
        <v>8704</v>
      </c>
      <c r="AV31" s="93">
        <v>19698</v>
      </c>
      <c r="AW31" s="101">
        <v>19698</v>
      </c>
      <c r="AX31" s="88">
        <v>4059</v>
      </c>
      <c r="AY31" s="88">
        <v>-3721</v>
      </c>
      <c r="AZ31" s="88">
        <v>5241</v>
      </c>
      <c r="BA31" s="100">
        <v>5241</v>
      </c>
      <c r="BB31" s="100">
        <v>5579</v>
      </c>
      <c r="BC31" s="88">
        <v>-198</v>
      </c>
      <c r="BD31" s="93">
        <v>5381</v>
      </c>
      <c r="BE31" s="372">
        <v>4059</v>
      </c>
      <c r="BF31" s="88"/>
      <c r="BG31" s="88">
        <v>5241</v>
      </c>
      <c r="BH31" s="88">
        <v>-198</v>
      </c>
      <c r="BI31" s="88">
        <v>-198</v>
      </c>
      <c r="BJ31" s="93">
        <v>5381</v>
      </c>
      <c r="BK31" s="93">
        <v>5381</v>
      </c>
      <c r="BL31" s="88">
        <v>9742</v>
      </c>
      <c r="BM31" s="88"/>
      <c r="BN31" s="88"/>
      <c r="BO31" s="88">
        <v>0</v>
      </c>
      <c r="BP31" s="88"/>
      <c r="BQ31" s="88">
        <v>0</v>
      </c>
      <c r="BR31" s="93">
        <v>0</v>
      </c>
      <c r="BS31" s="88">
        <v>0</v>
      </c>
      <c r="BT31" s="88"/>
      <c r="BU31" s="88">
        <v>0</v>
      </c>
      <c r="BV31" s="88"/>
      <c r="BW31" s="93"/>
    </row>
    <row r="32" spans="1:75" ht="12.75">
      <c r="A32" s="92" t="s">
        <v>621</v>
      </c>
      <c r="B32" s="88"/>
      <c r="C32" s="88"/>
      <c r="D32" s="88"/>
      <c r="E32" s="88"/>
      <c r="F32" s="93"/>
      <c r="G32" s="88"/>
      <c r="H32" s="88"/>
      <c r="I32" s="88"/>
      <c r="J32" s="88"/>
      <c r="K32" s="93"/>
      <c r="L32" s="88"/>
      <c r="M32" s="88"/>
      <c r="N32" s="88"/>
      <c r="O32" s="88"/>
      <c r="P32" s="93"/>
      <c r="Q32" s="88"/>
      <c r="R32" s="88"/>
      <c r="S32" s="88"/>
      <c r="T32" s="88"/>
      <c r="U32" s="93"/>
      <c r="V32" s="88"/>
      <c r="W32" s="88"/>
      <c r="X32" s="88"/>
      <c r="Y32" s="88"/>
      <c r="Z32" s="93"/>
      <c r="AA32" s="88"/>
      <c r="AB32" s="88"/>
      <c r="AC32" s="88"/>
      <c r="AD32" s="88"/>
      <c r="AE32" s="93"/>
      <c r="AF32" s="88"/>
      <c r="AG32" s="88"/>
      <c r="AH32" s="88"/>
      <c r="AI32" s="88"/>
      <c r="AJ32" s="93"/>
      <c r="AK32" s="88"/>
      <c r="AL32" s="88"/>
      <c r="AM32" s="88"/>
      <c r="AN32" s="88"/>
      <c r="AO32" s="93"/>
      <c r="AP32" s="88"/>
      <c r="AQ32" s="168"/>
      <c r="AR32" s="88"/>
      <c r="AS32" s="100"/>
      <c r="AT32" s="88"/>
      <c r="AU32" s="100"/>
      <c r="AV32" s="93"/>
      <c r="AW32" s="101"/>
      <c r="AX32" s="88"/>
      <c r="AY32" s="88"/>
      <c r="AZ32" s="88"/>
      <c r="BA32" s="100"/>
      <c r="BB32" s="100"/>
      <c r="BC32" s="88"/>
      <c r="BD32" s="93"/>
      <c r="BE32" s="372"/>
      <c r="BF32" s="88"/>
      <c r="BG32" s="88"/>
      <c r="BH32" s="88"/>
      <c r="BI32" s="88"/>
      <c r="BJ32" s="93"/>
      <c r="BK32" s="93"/>
      <c r="BL32" s="88"/>
      <c r="BM32" s="88"/>
      <c r="BN32" s="88"/>
      <c r="BO32" s="88"/>
      <c r="BP32" s="88"/>
      <c r="BQ32" s="88"/>
      <c r="BR32" s="93"/>
      <c r="BS32" s="88"/>
      <c r="BT32" s="88"/>
      <c r="BU32" s="88"/>
      <c r="BV32" s="68">
        <v>-264</v>
      </c>
      <c r="BW32" s="41">
        <v>1422</v>
      </c>
    </row>
    <row r="33" spans="1:75" ht="12.75">
      <c r="A33" s="92" t="s">
        <v>622</v>
      </c>
      <c r="B33" s="88">
        <v>10369</v>
      </c>
      <c r="C33" s="88">
        <v>-8177</v>
      </c>
      <c r="D33" s="88">
        <v>661</v>
      </c>
      <c r="E33" s="88">
        <v>-724</v>
      </c>
      <c r="F33" s="93">
        <v>2129</v>
      </c>
      <c r="G33" s="88">
        <v>225</v>
      </c>
      <c r="H33" s="88">
        <v>3618</v>
      </c>
      <c r="I33" s="88">
        <v>1446</v>
      </c>
      <c r="J33" s="88">
        <v>686</v>
      </c>
      <c r="K33" s="93">
        <v>5975</v>
      </c>
      <c r="L33" s="88">
        <v>5943</v>
      </c>
      <c r="M33" s="88">
        <v>8160</v>
      </c>
      <c r="N33" s="88">
        <v>-11339</v>
      </c>
      <c r="O33" s="88">
        <v>612</v>
      </c>
      <c r="P33" s="93">
        <v>3376</v>
      </c>
      <c r="Q33" s="88">
        <v>1644</v>
      </c>
      <c r="R33" s="88">
        <v>1249</v>
      </c>
      <c r="S33" s="88">
        <v>2007</v>
      </c>
      <c r="T33" s="88">
        <v>4255</v>
      </c>
      <c r="U33" s="93">
        <v>9155</v>
      </c>
      <c r="V33" s="88">
        <v>6496</v>
      </c>
      <c r="W33" s="88">
        <v>3362</v>
      </c>
      <c r="X33" s="88">
        <v>4864</v>
      </c>
      <c r="Y33" s="88">
        <v>8236</v>
      </c>
      <c r="Z33" s="93">
        <v>22958</v>
      </c>
      <c r="AA33" s="88">
        <v>15075</v>
      </c>
      <c r="AB33" s="88">
        <v>13165</v>
      </c>
      <c r="AC33" s="88">
        <v>-4663</v>
      </c>
      <c r="AD33" s="88">
        <f t="shared" si="0"/>
        <v>-1954</v>
      </c>
      <c r="AE33" s="93">
        <v>21623</v>
      </c>
      <c r="AF33" s="88">
        <v>3190</v>
      </c>
      <c r="AG33" s="88">
        <v>108</v>
      </c>
      <c r="AH33" s="88">
        <v>-1191</v>
      </c>
      <c r="AI33" s="88">
        <v>1872</v>
      </c>
      <c r="AJ33" s="93">
        <v>3979</v>
      </c>
      <c r="AK33" s="88">
        <v>323</v>
      </c>
      <c r="AL33" s="88">
        <v>25142</v>
      </c>
      <c r="AM33" s="88">
        <v>18939</v>
      </c>
      <c r="AN33" s="88">
        <v>42526</v>
      </c>
      <c r="AO33" s="93">
        <v>86930</v>
      </c>
      <c r="AP33" s="88">
        <v>141386</v>
      </c>
      <c r="AQ33" s="88">
        <v>-108682</v>
      </c>
      <c r="AR33" s="88">
        <v>-19137</v>
      </c>
      <c r="AS33" s="100">
        <v>13567</v>
      </c>
      <c r="AT33" s="88">
        <v>5639</v>
      </c>
      <c r="AU33" s="100">
        <v>7543</v>
      </c>
      <c r="AV33" s="93">
        <v>19206</v>
      </c>
      <c r="AW33" s="101">
        <v>21110</v>
      </c>
      <c r="AX33" s="88">
        <v>17347</v>
      </c>
      <c r="AY33" s="88">
        <v>79537</v>
      </c>
      <c r="AZ33" s="88">
        <v>-58254</v>
      </c>
      <c r="BA33" s="100">
        <v>-58359</v>
      </c>
      <c r="BB33" s="100">
        <v>39123</v>
      </c>
      <c r="BC33" s="88">
        <v>9517</v>
      </c>
      <c r="BD33" s="93">
        <v>48640</v>
      </c>
      <c r="BE33" s="372">
        <v>17642</v>
      </c>
      <c r="BF33" s="88">
        <v>79840</v>
      </c>
      <c r="BG33" s="88">
        <v>-58359</v>
      </c>
      <c r="BH33" s="88">
        <v>9670</v>
      </c>
      <c r="BI33" s="88">
        <v>10989</v>
      </c>
      <c r="BJ33" s="93">
        <v>48793</v>
      </c>
      <c r="BK33" s="93">
        <v>54072</v>
      </c>
      <c r="BL33" s="88">
        <v>4650</v>
      </c>
      <c r="BM33" s="88">
        <v>15509</v>
      </c>
      <c r="BN33" s="88">
        <v>16386</v>
      </c>
      <c r="BO33" s="88">
        <v>33901</v>
      </c>
      <c r="BP33" s="88">
        <v>35343</v>
      </c>
      <c r="BQ33" s="88">
        <v>23842</v>
      </c>
      <c r="BR33" s="93">
        <v>80221</v>
      </c>
      <c r="BS33" s="88">
        <v>2714</v>
      </c>
      <c r="BT33" s="88">
        <v>3599</v>
      </c>
      <c r="BU33" s="88">
        <v>1691</v>
      </c>
      <c r="BV33" s="68">
        <v>6147</v>
      </c>
      <c r="BW33" s="41">
        <v>12465</v>
      </c>
    </row>
    <row r="34" spans="1:75" s="116" customFormat="1" ht="12.75">
      <c r="A34" s="103" t="s">
        <v>103</v>
      </c>
      <c r="B34" s="96">
        <v>17386</v>
      </c>
      <c r="C34" s="96">
        <v>-894</v>
      </c>
      <c r="D34" s="96">
        <v>7450</v>
      </c>
      <c r="E34" s="96">
        <v>4235</v>
      </c>
      <c r="F34" s="97">
        <v>28177</v>
      </c>
      <c r="G34" s="96">
        <v>5739</v>
      </c>
      <c r="H34" s="96">
        <v>8926</v>
      </c>
      <c r="I34" s="96">
        <v>6606</v>
      </c>
      <c r="J34" s="96">
        <v>7127</v>
      </c>
      <c r="K34" s="97">
        <v>28398</v>
      </c>
      <c r="L34" s="96">
        <v>10368</v>
      </c>
      <c r="M34" s="96">
        <v>13340</v>
      </c>
      <c r="N34" s="96">
        <v>-5100</v>
      </c>
      <c r="O34" s="96">
        <v>7382</v>
      </c>
      <c r="P34" s="97">
        <v>25990</v>
      </c>
      <c r="Q34" s="96">
        <v>8333</v>
      </c>
      <c r="R34" s="96">
        <v>6442</v>
      </c>
      <c r="S34" s="96">
        <v>7216</v>
      </c>
      <c r="T34" s="96">
        <v>9339</v>
      </c>
      <c r="U34" s="97">
        <v>31330</v>
      </c>
      <c r="V34" s="96">
        <v>10878</v>
      </c>
      <c r="W34" s="96">
        <v>7551</v>
      </c>
      <c r="X34" s="96">
        <v>9232</v>
      </c>
      <c r="Y34" s="96">
        <v>12931</v>
      </c>
      <c r="Z34" s="97">
        <v>40592</v>
      </c>
      <c r="AA34" s="96">
        <v>28314</v>
      </c>
      <c r="AB34" s="96">
        <v>16407</v>
      </c>
      <c r="AC34" s="96">
        <v>-5153</v>
      </c>
      <c r="AD34" s="96">
        <f t="shared" si="0"/>
        <v>15726</v>
      </c>
      <c r="AE34" s="97">
        <v>55294</v>
      </c>
      <c r="AF34" s="96">
        <v>7566</v>
      </c>
      <c r="AG34" s="96">
        <v>41980</v>
      </c>
      <c r="AH34" s="96">
        <v>-4344</v>
      </c>
      <c r="AI34" s="96">
        <v>-6539</v>
      </c>
      <c r="AJ34" s="97">
        <v>38663</v>
      </c>
      <c r="AK34" s="96">
        <v>11482</v>
      </c>
      <c r="AL34" s="96">
        <v>37072</v>
      </c>
      <c r="AM34" s="96">
        <v>31775</v>
      </c>
      <c r="AN34" s="96">
        <v>50741</v>
      </c>
      <c r="AO34" s="97">
        <v>131070</v>
      </c>
      <c r="AP34" s="96">
        <v>149652</v>
      </c>
      <c r="AQ34" s="96">
        <v>-100920</v>
      </c>
      <c r="AR34" s="96">
        <v>748</v>
      </c>
      <c r="AS34" s="294">
        <v>49480</v>
      </c>
      <c r="AT34" s="96">
        <v>25064</v>
      </c>
      <c r="AU34" s="294">
        <v>27251</v>
      </c>
      <c r="AV34" s="97">
        <v>74544</v>
      </c>
      <c r="AW34" s="291">
        <v>76731</v>
      </c>
      <c r="AX34" s="96">
        <v>30738</v>
      </c>
      <c r="AY34" s="96">
        <v>88281</v>
      </c>
      <c r="AZ34" s="96">
        <v>-36083</v>
      </c>
      <c r="BA34" s="294">
        <v>-36188</v>
      </c>
      <c r="BB34" s="294">
        <v>83429</v>
      </c>
      <c r="BC34" s="96">
        <v>21388</v>
      </c>
      <c r="BD34" s="97">
        <v>104817</v>
      </c>
      <c r="BE34" s="373">
        <v>31033</v>
      </c>
      <c r="BF34" s="96">
        <v>92305</v>
      </c>
      <c r="BG34" s="96">
        <v>-36188</v>
      </c>
      <c r="BH34" s="96">
        <v>21500</v>
      </c>
      <c r="BI34" s="96">
        <v>22819</v>
      </c>
      <c r="BJ34" s="97">
        <v>104929</v>
      </c>
      <c r="BK34" s="97">
        <v>110208</v>
      </c>
      <c r="BL34" s="96">
        <v>26477</v>
      </c>
      <c r="BM34" s="96">
        <v>28585</v>
      </c>
      <c r="BN34" s="96">
        <v>29462</v>
      </c>
      <c r="BO34" s="96">
        <v>46608</v>
      </c>
      <c r="BP34" s="96">
        <v>48050</v>
      </c>
      <c r="BQ34" s="96">
        <v>40753</v>
      </c>
      <c r="BR34" s="97">
        <v>135000</v>
      </c>
      <c r="BS34" s="96">
        <v>16656</v>
      </c>
      <c r="BT34" s="96">
        <v>18571</v>
      </c>
      <c r="BU34" s="96">
        <v>15793</v>
      </c>
      <c r="BV34" s="96">
        <f>SUM(BV28:BV33)</f>
        <v>22395</v>
      </c>
      <c r="BW34" s="97">
        <f>SUM(BW28:BW33)</f>
        <v>73415</v>
      </c>
    </row>
    <row r="35" ht="12.75">
      <c r="A35" s="102"/>
    </row>
    <row r="36" spans="1:75" ht="12.75">
      <c r="A36" s="95" t="s">
        <v>104</v>
      </c>
      <c r="B36" s="96">
        <v>15099</v>
      </c>
      <c r="C36" s="96">
        <v>-16433</v>
      </c>
      <c r="D36" s="96">
        <v>7123</v>
      </c>
      <c r="E36" s="96">
        <v>-1047</v>
      </c>
      <c r="F36" s="97">
        <v>4742</v>
      </c>
      <c r="G36" s="96">
        <v>1642</v>
      </c>
      <c r="H36" s="96">
        <v>-1791</v>
      </c>
      <c r="I36" s="96">
        <v>3620</v>
      </c>
      <c r="J36" s="96">
        <v>-5359</v>
      </c>
      <c r="K36" s="97">
        <v>-1888</v>
      </c>
      <c r="L36" s="96">
        <v>9042</v>
      </c>
      <c r="M36" s="96">
        <v>9649</v>
      </c>
      <c r="N36" s="96">
        <v>-5630</v>
      </c>
      <c r="O36" s="96">
        <v>3014</v>
      </c>
      <c r="P36" s="97">
        <v>16075</v>
      </c>
      <c r="Q36" s="96">
        <v>-4187</v>
      </c>
      <c r="R36" s="96">
        <v>10868</v>
      </c>
      <c r="S36" s="96">
        <v>-3889</v>
      </c>
      <c r="T36" s="96">
        <v>-7947</v>
      </c>
      <c r="U36" s="97">
        <v>-5155</v>
      </c>
      <c r="V36" s="96">
        <v>8963</v>
      </c>
      <c r="W36" s="96">
        <v>5845</v>
      </c>
      <c r="X36" s="96">
        <v>7994</v>
      </c>
      <c r="Y36" s="96">
        <v>9356</v>
      </c>
      <c r="Z36" s="97">
        <v>32158</v>
      </c>
      <c r="AA36" s="96">
        <v>26514</v>
      </c>
      <c r="AB36" s="96">
        <v>13209</v>
      </c>
      <c r="AC36" s="96">
        <v>-12900</v>
      </c>
      <c r="AD36" s="96">
        <f t="shared" si="0"/>
        <v>10795</v>
      </c>
      <c r="AE36" s="97">
        <v>37618</v>
      </c>
      <c r="AF36" s="96">
        <v>-1582</v>
      </c>
      <c r="AG36" s="96">
        <v>34826</v>
      </c>
      <c r="AH36" s="96">
        <v>-4949</v>
      </c>
      <c r="AI36" s="96">
        <v>-11728</v>
      </c>
      <c r="AJ36" s="97">
        <v>16567</v>
      </c>
      <c r="AK36" s="96">
        <v>-1304</v>
      </c>
      <c r="AL36" s="96">
        <v>-37548</v>
      </c>
      <c r="AM36" s="96">
        <v>41728</v>
      </c>
      <c r="AN36" s="96">
        <v>13130</v>
      </c>
      <c r="AO36" s="97">
        <v>16006</v>
      </c>
      <c r="AP36" s="96">
        <v>147128</v>
      </c>
      <c r="AQ36" s="96">
        <v>-103567</v>
      </c>
      <c r="AR36" s="96">
        <v>-19864</v>
      </c>
      <c r="AS36" s="294">
        <v>24366</v>
      </c>
      <c r="AT36" s="96">
        <v>35304</v>
      </c>
      <c r="AU36" s="294">
        <v>35977</v>
      </c>
      <c r="AV36" s="97">
        <v>59001</v>
      </c>
      <c r="AW36" s="291">
        <v>60343</v>
      </c>
      <c r="AX36" s="96">
        <v>23470</v>
      </c>
      <c r="AY36" s="96">
        <v>77237</v>
      </c>
      <c r="AZ36" s="96">
        <v>-41305</v>
      </c>
      <c r="BA36" s="294">
        <v>-41410</v>
      </c>
      <c r="BB36" s="294">
        <v>59895</v>
      </c>
      <c r="BC36" s="96">
        <v>23491</v>
      </c>
      <c r="BD36" s="97">
        <v>83386</v>
      </c>
      <c r="BE36" s="373">
        <v>23765</v>
      </c>
      <c r="BF36" s="96">
        <v>77540</v>
      </c>
      <c r="BG36" s="96">
        <v>-41410</v>
      </c>
      <c r="BH36" s="96">
        <v>19162</v>
      </c>
      <c r="BI36" s="96">
        <v>20680</v>
      </c>
      <c r="BJ36" s="97">
        <v>79057</v>
      </c>
      <c r="BK36" s="97">
        <v>85477</v>
      </c>
      <c r="BL36" s="96">
        <v>-28419</v>
      </c>
      <c r="BM36" s="96">
        <v>10254</v>
      </c>
      <c r="BN36" s="96">
        <v>11445</v>
      </c>
      <c r="BO36" s="96">
        <v>18322</v>
      </c>
      <c r="BP36" s="96">
        <v>20061</v>
      </c>
      <c r="BQ36" s="96">
        <v>51765</v>
      </c>
      <c r="BR36" s="97">
        <v>54852</v>
      </c>
      <c r="BS36" s="96">
        <v>4695</v>
      </c>
      <c r="BT36" s="96">
        <v>18303</v>
      </c>
      <c r="BU36" s="96">
        <v>4860</v>
      </c>
      <c r="BV36" s="96">
        <f>BV34-BV26</f>
        <v>18811</v>
      </c>
      <c r="BW36" s="96">
        <f>BW34-BW26</f>
        <v>46669</v>
      </c>
    </row>
    <row r="37" spans="1:75" ht="12.75">
      <c r="A37" s="92" t="s">
        <v>105</v>
      </c>
      <c r="B37" s="88">
        <v>2139</v>
      </c>
      <c r="C37" s="88">
        <v>3119</v>
      </c>
      <c r="D37" s="88">
        <v>1443</v>
      </c>
      <c r="E37" s="88">
        <v>2382</v>
      </c>
      <c r="F37" s="93">
        <v>9083</v>
      </c>
      <c r="G37" s="88">
        <v>1052</v>
      </c>
      <c r="H37" s="88">
        <v>1606</v>
      </c>
      <c r="I37" s="88">
        <v>2539</v>
      </c>
      <c r="J37" s="88">
        <v>2669</v>
      </c>
      <c r="K37" s="93">
        <v>7866</v>
      </c>
      <c r="L37" s="88">
        <v>3566</v>
      </c>
      <c r="M37" s="88">
        <v>835</v>
      </c>
      <c r="N37" s="88">
        <v>330</v>
      </c>
      <c r="O37" s="88">
        <v>674</v>
      </c>
      <c r="P37" s="93">
        <v>5405</v>
      </c>
      <c r="Q37" s="88">
        <v>201</v>
      </c>
      <c r="R37" s="88">
        <v>2145</v>
      </c>
      <c r="S37" s="88">
        <v>3385</v>
      </c>
      <c r="T37" s="88">
        <v>2254</v>
      </c>
      <c r="U37" s="93">
        <v>7985</v>
      </c>
      <c r="V37" s="88">
        <v>1090</v>
      </c>
      <c r="W37" s="88">
        <v>463</v>
      </c>
      <c r="X37" s="88">
        <v>2251</v>
      </c>
      <c r="Y37" s="88">
        <v>1075</v>
      </c>
      <c r="Z37" s="93">
        <v>4879</v>
      </c>
      <c r="AA37" s="88">
        <v>1229</v>
      </c>
      <c r="AB37" s="88">
        <v>3389</v>
      </c>
      <c r="AC37" s="88">
        <v>-791</v>
      </c>
      <c r="AD37" s="88">
        <f t="shared" si="0"/>
        <v>1368</v>
      </c>
      <c r="AE37" s="93">
        <v>5195</v>
      </c>
      <c r="AF37" s="88">
        <v>1077</v>
      </c>
      <c r="AG37" s="88">
        <v>762</v>
      </c>
      <c r="AH37" s="88">
        <v>2935</v>
      </c>
      <c r="AI37" s="88">
        <v>544</v>
      </c>
      <c r="AJ37" s="93">
        <v>5318</v>
      </c>
      <c r="AK37" s="88">
        <v>4682</v>
      </c>
      <c r="AL37" s="88">
        <v>1417</v>
      </c>
      <c r="AM37" s="88">
        <v>-4881</v>
      </c>
      <c r="AN37" s="88">
        <v>-26428</v>
      </c>
      <c r="AO37" s="93">
        <v>-25210</v>
      </c>
      <c r="AP37" s="88">
        <v>-12361</v>
      </c>
      <c r="AQ37" s="88">
        <v>18831</v>
      </c>
      <c r="AR37" s="88">
        <v>429</v>
      </c>
      <c r="AS37" s="100">
        <v>6899</v>
      </c>
      <c r="AT37" s="88">
        <v>-8575</v>
      </c>
      <c r="AU37" s="100">
        <v>-8563</v>
      </c>
      <c r="AV37" s="93">
        <v>-1676</v>
      </c>
      <c r="AW37" s="101">
        <v>-1664</v>
      </c>
      <c r="AX37" s="88">
        <v>2825</v>
      </c>
      <c r="AY37" s="88">
        <v>1710</v>
      </c>
      <c r="AZ37" s="88">
        <v>4613</v>
      </c>
      <c r="BA37" s="100">
        <v>4613</v>
      </c>
      <c r="BB37" s="100">
        <v>9148</v>
      </c>
      <c r="BC37" s="88">
        <v>3277</v>
      </c>
      <c r="BD37" s="93">
        <v>12425</v>
      </c>
      <c r="BE37" s="372">
        <v>2825</v>
      </c>
      <c r="BF37" s="88">
        <v>1710</v>
      </c>
      <c r="BG37" s="88">
        <v>4613</v>
      </c>
      <c r="BH37" s="88">
        <v>2865</v>
      </c>
      <c r="BI37" s="88">
        <v>2865</v>
      </c>
      <c r="BJ37" s="93">
        <v>12013</v>
      </c>
      <c r="BK37" s="93">
        <v>12013</v>
      </c>
      <c r="BL37" s="88">
        <v>2945</v>
      </c>
      <c r="BM37" s="88">
        <v>2863</v>
      </c>
      <c r="BN37" s="88">
        <v>2863</v>
      </c>
      <c r="BO37" s="88">
        <v>4666</v>
      </c>
      <c r="BP37" s="88">
        <v>4666</v>
      </c>
      <c r="BQ37" s="88">
        <v>9592</v>
      </c>
      <c r="BR37" s="93">
        <v>20066</v>
      </c>
      <c r="BS37" s="88">
        <v>11315</v>
      </c>
      <c r="BT37" s="88">
        <v>6706</v>
      </c>
      <c r="BU37" s="88">
        <v>8330</v>
      </c>
      <c r="BV37" s="88">
        <v>6557</v>
      </c>
      <c r="BW37" s="93">
        <v>32908</v>
      </c>
    </row>
    <row r="38" spans="1:75" ht="12.75">
      <c r="A38" s="95" t="s">
        <v>106</v>
      </c>
      <c r="B38" s="96">
        <v>-9911</v>
      </c>
      <c r="C38" s="96">
        <v>5717</v>
      </c>
      <c r="D38" s="96">
        <v>-12849</v>
      </c>
      <c r="E38" s="96">
        <v>18207</v>
      </c>
      <c r="F38" s="97">
        <v>1164</v>
      </c>
      <c r="G38" s="96">
        <v>11596</v>
      </c>
      <c r="H38" s="96">
        <v>32372</v>
      </c>
      <c r="I38" s="96">
        <v>15740</v>
      </c>
      <c r="J38" s="96">
        <v>7215</v>
      </c>
      <c r="K38" s="97">
        <v>66923</v>
      </c>
      <c r="L38" s="96">
        <v>22671</v>
      </c>
      <c r="M38" s="96">
        <v>-8522</v>
      </c>
      <c r="N38" s="96">
        <v>34589</v>
      </c>
      <c r="O38" s="96">
        <v>23663</v>
      </c>
      <c r="P38" s="97">
        <v>72401</v>
      </c>
      <c r="Q38" s="96">
        <v>66209</v>
      </c>
      <c r="R38" s="96">
        <v>38961</v>
      </c>
      <c r="S38" s="96">
        <v>88917</v>
      </c>
      <c r="T38" s="96">
        <v>67824</v>
      </c>
      <c r="U38" s="97">
        <v>261911</v>
      </c>
      <c r="V38" s="96">
        <v>84547</v>
      </c>
      <c r="W38" s="96">
        <v>72043</v>
      </c>
      <c r="X38" s="96">
        <v>64118</v>
      </c>
      <c r="Y38" s="96">
        <v>56449</v>
      </c>
      <c r="Z38" s="97">
        <v>277157</v>
      </c>
      <c r="AA38" s="96">
        <v>129882</v>
      </c>
      <c r="AB38" s="96">
        <v>92506</v>
      </c>
      <c r="AC38" s="96">
        <v>106863</v>
      </c>
      <c r="AD38" s="96">
        <f t="shared" si="0"/>
        <v>33139</v>
      </c>
      <c r="AE38" s="97">
        <v>362390</v>
      </c>
      <c r="AF38" s="96">
        <v>77759</v>
      </c>
      <c r="AG38" s="96">
        <v>57474</v>
      </c>
      <c r="AH38" s="96">
        <v>103849</v>
      </c>
      <c r="AI38" s="96">
        <v>105174</v>
      </c>
      <c r="AJ38" s="97">
        <v>344256</v>
      </c>
      <c r="AK38" s="96">
        <v>73287</v>
      </c>
      <c r="AL38" s="96">
        <v>128058</v>
      </c>
      <c r="AM38" s="96">
        <v>-9967</v>
      </c>
      <c r="AN38" s="96">
        <v>-33182</v>
      </c>
      <c r="AO38" s="97">
        <v>158196</v>
      </c>
      <c r="AP38" s="96">
        <v>-92080</v>
      </c>
      <c r="AQ38" s="96">
        <v>201244</v>
      </c>
      <c r="AR38" s="96">
        <v>61276</v>
      </c>
      <c r="AS38" s="294">
        <v>161476</v>
      </c>
      <c r="AT38" s="96">
        <v>12122</v>
      </c>
      <c r="AU38" s="294">
        <v>8896</v>
      </c>
      <c r="AV38" s="97">
        <v>182562</v>
      </c>
      <c r="AW38" s="291">
        <v>170372</v>
      </c>
      <c r="AX38" s="96">
        <v>38839</v>
      </c>
      <c r="AY38" s="96">
        <v>-15997</v>
      </c>
      <c r="AZ38" s="96">
        <v>142004</v>
      </c>
      <c r="BA38" s="294">
        <v>129481</v>
      </c>
      <c r="BB38" s="294">
        <v>126984</v>
      </c>
      <c r="BC38" s="96">
        <v>42651</v>
      </c>
      <c r="BD38" s="97">
        <v>169635</v>
      </c>
      <c r="BE38" s="373">
        <v>27172</v>
      </c>
      <c r="BF38" s="96">
        <v>-29669</v>
      </c>
      <c r="BG38" s="96">
        <v>129481</v>
      </c>
      <c r="BH38" s="96">
        <v>45030</v>
      </c>
      <c r="BI38" s="96">
        <v>45030</v>
      </c>
      <c r="BJ38" s="97">
        <v>172014</v>
      </c>
      <c r="BK38" s="97">
        <v>172014</v>
      </c>
      <c r="BL38" s="96">
        <v>140719.16641911003</v>
      </c>
      <c r="BM38" s="96">
        <v>71048</v>
      </c>
      <c r="BN38" s="96">
        <v>71048</v>
      </c>
      <c r="BO38" s="96">
        <v>37111</v>
      </c>
      <c r="BP38" s="96">
        <v>37171</v>
      </c>
      <c r="BQ38" s="96">
        <v>-30482.013846981106</v>
      </c>
      <c r="BR38" s="97">
        <v>218396</v>
      </c>
      <c r="BS38" s="96">
        <v>89963</v>
      </c>
      <c r="BT38" s="96">
        <v>-10533</v>
      </c>
      <c r="BU38" s="96">
        <v>106512</v>
      </c>
      <c r="BV38" s="96">
        <v>20748</v>
      </c>
      <c r="BW38" s="97">
        <v>206690</v>
      </c>
    </row>
    <row r="39" spans="1:75" ht="12.75">
      <c r="A39" s="92" t="s">
        <v>107</v>
      </c>
      <c r="B39" s="88">
        <v>-247</v>
      </c>
      <c r="C39" s="88">
        <v>-3517</v>
      </c>
      <c r="D39" s="88">
        <v>-3931</v>
      </c>
      <c r="E39" s="88">
        <v>1559</v>
      </c>
      <c r="F39" s="93">
        <v>-6136</v>
      </c>
      <c r="G39" s="88">
        <v>881</v>
      </c>
      <c r="H39" s="88">
        <v>1772</v>
      </c>
      <c r="I39" s="88">
        <v>-797</v>
      </c>
      <c r="J39" s="88">
        <v>83</v>
      </c>
      <c r="K39" s="93">
        <v>1939</v>
      </c>
      <c r="L39" s="88">
        <v>764</v>
      </c>
      <c r="M39" s="88">
        <v>667</v>
      </c>
      <c r="N39" s="88">
        <v>2328</v>
      </c>
      <c r="O39" s="88">
        <v>-36235</v>
      </c>
      <c r="P39" s="93">
        <v>-32476</v>
      </c>
      <c r="Q39" s="88">
        <v>12075</v>
      </c>
      <c r="R39" s="88">
        <v>8939</v>
      </c>
      <c r="S39" s="88">
        <v>13524</v>
      </c>
      <c r="T39" s="88">
        <v>13279</v>
      </c>
      <c r="U39" s="93">
        <v>47817</v>
      </c>
      <c r="V39" s="88">
        <v>10195</v>
      </c>
      <c r="W39" s="88">
        <v>6545</v>
      </c>
      <c r="X39" s="88">
        <v>9509</v>
      </c>
      <c r="Y39" s="88">
        <v>2909</v>
      </c>
      <c r="Z39" s="93">
        <v>29158</v>
      </c>
      <c r="AA39" s="88">
        <v>8257</v>
      </c>
      <c r="AB39" s="88">
        <v>3891</v>
      </c>
      <c r="AC39" s="88">
        <v>9407</v>
      </c>
      <c r="AD39" s="88">
        <f t="shared" si="0"/>
        <v>3309</v>
      </c>
      <c r="AE39" s="93">
        <v>24864</v>
      </c>
      <c r="AF39" s="88">
        <v>15172</v>
      </c>
      <c r="AG39" s="88">
        <v>29879</v>
      </c>
      <c r="AH39" s="88">
        <v>29839</v>
      </c>
      <c r="AI39" s="88">
        <v>6963</v>
      </c>
      <c r="AJ39" s="93">
        <v>81853</v>
      </c>
      <c r="AK39" s="88">
        <v>8244</v>
      </c>
      <c r="AL39" s="88">
        <v>13910</v>
      </c>
      <c r="AM39" s="88">
        <v>-4871</v>
      </c>
      <c r="AN39" s="88">
        <v>-223</v>
      </c>
      <c r="AO39" s="93">
        <v>17060</v>
      </c>
      <c r="AP39" s="88">
        <v>25642</v>
      </c>
      <c r="AQ39" s="88">
        <v>19896</v>
      </c>
      <c r="AR39" s="88">
        <v>41531</v>
      </c>
      <c r="AS39" s="100">
        <v>85254</v>
      </c>
      <c r="AT39" s="88">
        <v>-3995</v>
      </c>
      <c r="AU39" s="100">
        <v>-5123</v>
      </c>
      <c r="AV39" s="93">
        <v>83074</v>
      </c>
      <c r="AW39" s="101">
        <v>80131</v>
      </c>
      <c r="AX39" s="88">
        <v>16429</v>
      </c>
      <c r="AY39" s="88">
        <v>24740</v>
      </c>
      <c r="AZ39" s="88">
        <v>19708</v>
      </c>
      <c r="BA39" s="100">
        <v>18240</v>
      </c>
      <c r="BB39" s="100">
        <v>56792</v>
      </c>
      <c r="BC39" s="88">
        <v>4352</v>
      </c>
      <c r="BD39" s="93">
        <v>61144</v>
      </c>
      <c r="BE39" s="372">
        <v>15621</v>
      </c>
      <c r="BF39" s="88">
        <v>22931</v>
      </c>
      <c r="BG39" s="88">
        <v>18240</v>
      </c>
      <c r="BH39" s="88">
        <v>6505</v>
      </c>
      <c r="BI39" s="88">
        <v>6505</v>
      </c>
      <c r="BJ39" s="93">
        <v>63297</v>
      </c>
      <c r="BK39" s="93">
        <v>63297</v>
      </c>
      <c r="BL39" s="88">
        <v>27806</v>
      </c>
      <c r="BM39" s="88">
        <v>4552</v>
      </c>
      <c r="BN39" s="88">
        <v>4552</v>
      </c>
      <c r="BO39" s="88">
        <v>1264</v>
      </c>
      <c r="BP39" s="88">
        <v>1264</v>
      </c>
      <c r="BQ39" s="88">
        <v>-478</v>
      </c>
      <c r="BR39" s="93">
        <v>33144</v>
      </c>
      <c r="BS39" s="88">
        <v>9043</v>
      </c>
      <c r="BT39" s="88">
        <v>-3391</v>
      </c>
      <c r="BU39" s="88">
        <v>26696</v>
      </c>
      <c r="BV39" s="88">
        <v>19906</v>
      </c>
      <c r="BW39" s="93">
        <v>52254</v>
      </c>
    </row>
    <row r="40" ht="12.75">
      <c r="A40" s="98"/>
    </row>
    <row r="41" spans="1:75" s="246" customFormat="1" ht="14.25" hidden="1">
      <c r="A41" s="244" t="s">
        <v>419</v>
      </c>
      <c r="B41" s="250">
        <v>-9664</v>
      </c>
      <c r="C41" s="250">
        <v>9234</v>
      </c>
      <c r="D41" s="250">
        <v>-8918</v>
      </c>
      <c r="E41" s="250">
        <v>16648</v>
      </c>
      <c r="F41" s="245">
        <v>7300</v>
      </c>
      <c r="G41" s="250">
        <v>10715</v>
      </c>
      <c r="H41" s="250">
        <v>30600</v>
      </c>
      <c r="I41" s="250">
        <v>16537</v>
      </c>
      <c r="J41" s="250">
        <v>7132</v>
      </c>
      <c r="K41" s="245">
        <v>64984</v>
      </c>
      <c r="L41" s="250">
        <v>21907</v>
      </c>
      <c r="M41" s="250">
        <v>-9189</v>
      </c>
      <c r="N41" s="250">
        <v>32261</v>
      </c>
      <c r="O41" s="250">
        <v>59898</v>
      </c>
      <c r="P41" s="245">
        <v>104877</v>
      </c>
      <c r="Q41" s="250">
        <v>54134</v>
      </c>
      <c r="R41" s="250">
        <v>30022</v>
      </c>
      <c r="S41" s="250">
        <v>75393</v>
      </c>
      <c r="T41" s="250">
        <v>54545</v>
      </c>
      <c r="U41" s="245">
        <v>214094</v>
      </c>
      <c r="V41" s="250">
        <v>74352</v>
      </c>
      <c r="W41" s="250">
        <v>65498</v>
      </c>
      <c r="X41" s="250">
        <v>54609</v>
      </c>
      <c r="Y41" s="250">
        <v>53540</v>
      </c>
      <c r="Z41" s="245">
        <v>247999</v>
      </c>
      <c r="AA41" s="250">
        <v>121625</v>
      </c>
      <c r="AB41" s="250">
        <v>88615</v>
      </c>
      <c r="AC41" s="250">
        <v>97456</v>
      </c>
      <c r="AD41" s="250">
        <f t="shared" si="0"/>
        <v>29830</v>
      </c>
      <c r="AE41" s="245">
        <v>337526</v>
      </c>
      <c r="AF41" s="250">
        <v>62587</v>
      </c>
      <c r="AG41" s="250">
        <v>27595</v>
      </c>
      <c r="AH41" s="250">
        <v>74010</v>
      </c>
      <c r="AI41" s="250">
        <v>98211</v>
      </c>
      <c r="AJ41" s="245">
        <v>262403</v>
      </c>
      <c r="AK41" s="250">
        <v>65043</v>
      </c>
      <c r="AL41" s="250">
        <v>114148</v>
      </c>
      <c r="AM41" s="250">
        <v>-5096</v>
      </c>
      <c r="AN41" s="250">
        <v>-32959</v>
      </c>
      <c r="AO41" s="245">
        <v>141136</v>
      </c>
      <c r="AP41" s="250">
        <v>-117722</v>
      </c>
      <c r="AQ41" s="250">
        <v>181348</v>
      </c>
      <c r="AR41" s="250">
        <v>19745</v>
      </c>
      <c r="AS41" s="296"/>
      <c r="AT41" s="250">
        <v>16117</v>
      </c>
      <c r="AU41" s="296"/>
      <c r="AV41" s="245">
        <v>99488</v>
      </c>
      <c r="AW41" s="292"/>
      <c r="AX41" s="250">
        <v>22410</v>
      </c>
      <c r="AY41" s="250">
        <v>-40737</v>
      </c>
      <c r="AZ41" s="250">
        <v>122296</v>
      </c>
      <c r="BA41" s="296"/>
      <c r="BB41" s="296"/>
      <c r="BC41" s="250"/>
      <c r="BD41" s="245"/>
      <c r="BE41" s="375"/>
      <c r="BF41" s="250"/>
      <c r="BG41" s="250"/>
      <c r="BH41" s="250"/>
      <c r="BI41" s="250"/>
      <c r="BJ41" s="245"/>
      <c r="BK41" s="245"/>
      <c r="BL41" s="250"/>
      <c r="BM41" s="250"/>
      <c r="BN41" s="250"/>
      <c r="BO41" s="250"/>
      <c r="BP41" s="250"/>
      <c r="BQ41" s="250"/>
      <c r="BR41" s="245"/>
      <c r="BS41" s="250"/>
      <c r="BT41" s="250"/>
      <c r="BU41" s="250">
        <v>79816</v>
      </c>
      <c r="BV41" s="250"/>
      <c r="BW41" s="245"/>
    </row>
    <row r="42" spans="1:75" s="246" customFormat="1" ht="12.75" hidden="1">
      <c r="A42" s="247" t="s">
        <v>420</v>
      </c>
      <c r="B42" s="250"/>
      <c r="C42" s="250"/>
      <c r="D42" s="250"/>
      <c r="E42" s="250"/>
      <c r="F42" s="245"/>
      <c r="G42" s="250"/>
      <c r="H42" s="250"/>
      <c r="I42" s="250"/>
      <c r="J42" s="250"/>
      <c r="K42" s="245"/>
      <c r="L42" s="250"/>
      <c r="M42" s="250"/>
      <c r="N42" s="250"/>
      <c r="O42" s="250"/>
      <c r="P42" s="245"/>
      <c r="Q42" s="250"/>
      <c r="R42" s="250"/>
      <c r="S42" s="250"/>
      <c r="T42" s="250"/>
      <c r="U42" s="245"/>
      <c r="V42" s="250"/>
      <c r="W42" s="250"/>
      <c r="X42" s="250"/>
      <c r="Y42" s="250"/>
      <c r="Z42" s="245"/>
      <c r="AA42" s="250"/>
      <c r="AB42" s="250"/>
      <c r="AC42" s="250"/>
      <c r="AD42" s="250"/>
      <c r="AE42" s="245"/>
      <c r="AF42" s="250"/>
      <c r="AG42" s="250"/>
      <c r="AH42" s="250"/>
      <c r="AI42" s="250"/>
      <c r="AJ42" s="245"/>
      <c r="AK42" s="250"/>
      <c r="AL42" s="250"/>
      <c r="AM42" s="250"/>
      <c r="AN42" s="250"/>
      <c r="AO42" s="245"/>
      <c r="AP42" s="250"/>
      <c r="AQ42" s="250"/>
      <c r="AR42" s="250">
        <v>-7149</v>
      </c>
      <c r="AS42" s="296"/>
      <c r="AT42" s="250">
        <v>4144</v>
      </c>
      <c r="AU42" s="296"/>
      <c r="AV42" s="245">
        <v>-3005</v>
      </c>
      <c r="AW42" s="292"/>
      <c r="AX42" s="250">
        <v>-10859</v>
      </c>
      <c r="AY42" s="250">
        <v>-11863</v>
      </c>
      <c r="AZ42" s="250">
        <v>-11055</v>
      </c>
      <c r="BA42" s="296"/>
      <c r="BB42" s="296"/>
      <c r="BC42" s="250"/>
      <c r="BD42" s="245"/>
      <c r="BE42" s="375"/>
      <c r="BF42" s="250"/>
      <c r="BG42" s="250"/>
      <c r="BH42" s="250"/>
      <c r="BI42" s="250"/>
      <c r="BJ42" s="245"/>
      <c r="BK42" s="245"/>
      <c r="BL42" s="250"/>
      <c r="BM42" s="250"/>
      <c r="BN42" s="250"/>
      <c r="BO42" s="250"/>
      <c r="BP42" s="250"/>
      <c r="BQ42" s="250"/>
      <c r="BR42" s="245"/>
      <c r="BS42" s="250"/>
      <c r="BT42" s="250"/>
      <c r="BU42" s="250"/>
      <c r="BV42" s="250"/>
      <c r="BW42" s="245"/>
    </row>
    <row r="43" spans="1:75" ht="12.75">
      <c r="A43" s="95" t="s">
        <v>409</v>
      </c>
      <c r="B43" s="96"/>
      <c r="C43" s="96"/>
      <c r="D43" s="96"/>
      <c r="E43" s="96"/>
      <c r="F43" s="97"/>
      <c r="G43" s="96"/>
      <c r="H43" s="96"/>
      <c r="I43" s="96"/>
      <c r="J43" s="96"/>
      <c r="K43" s="97"/>
      <c r="L43" s="96"/>
      <c r="M43" s="96"/>
      <c r="N43" s="96"/>
      <c r="O43" s="96"/>
      <c r="P43" s="97"/>
      <c r="Q43" s="96"/>
      <c r="R43" s="96"/>
      <c r="S43" s="96"/>
      <c r="T43" s="96"/>
      <c r="U43" s="97"/>
      <c r="V43" s="96"/>
      <c r="W43" s="96"/>
      <c r="X43" s="96"/>
      <c r="Y43" s="96"/>
      <c r="Z43" s="97"/>
      <c r="AA43" s="96"/>
      <c r="AB43" s="96"/>
      <c r="AC43" s="96"/>
      <c r="AD43" s="96"/>
      <c r="AE43" s="97"/>
      <c r="AF43" s="96"/>
      <c r="AG43" s="96"/>
      <c r="AH43" s="96"/>
      <c r="AI43" s="96"/>
      <c r="AJ43" s="97"/>
      <c r="AK43" s="96"/>
      <c r="AL43" s="96"/>
      <c r="AM43" s="96"/>
      <c r="AN43" s="96"/>
      <c r="AO43" s="97"/>
      <c r="AP43" s="96"/>
      <c r="AQ43" s="96"/>
      <c r="AR43" s="96">
        <v>12596</v>
      </c>
      <c r="AS43" s="294">
        <v>76222</v>
      </c>
      <c r="AT43" s="96">
        <v>20261</v>
      </c>
      <c r="AU43" s="294">
        <v>14019</v>
      </c>
      <c r="AV43" s="97">
        <v>96483</v>
      </c>
      <c r="AW43" s="291">
        <v>90241</v>
      </c>
      <c r="AX43" s="96">
        <v>11551</v>
      </c>
      <c r="AY43" s="96">
        <v>-52600</v>
      </c>
      <c r="AZ43" s="96">
        <v>111241</v>
      </c>
      <c r="BA43" s="294">
        <v>111241</v>
      </c>
      <c r="BB43" s="294">
        <v>70192</v>
      </c>
      <c r="BC43" s="96">
        <v>38299</v>
      </c>
      <c r="BD43" s="97">
        <v>108491</v>
      </c>
      <c r="BE43" s="373">
        <v>11551</v>
      </c>
      <c r="BF43" s="96">
        <v>-52600</v>
      </c>
      <c r="BG43" s="96">
        <v>111241</v>
      </c>
      <c r="BH43" s="96">
        <v>38525</v>
      </c>
      <c r="BI43" s="96">
        <v>38525</v>
      </c>
      <c r="BJ43" s="97">
        <v>108717</v>
      </c>
      <c r="BK43" s="97">
        <v>108717</v>
      </c>
      <c r="BL43" s="96">
        <v>112913.16641911003</v>
      </c>
      <c r="BM43" s="96">
        <v>66496</v>
      </c>
      <c r="BN43" s="96">
        <v>66496</v>
      </c>
      <c r="BO43" s="96">
        <v>35847</v>
      </c>
      <c r="BP43" s="96">
        <v>35847</v>
      </c>
      <c r="BQ43" s="96">
        <v>-30004.013846981106</v>
      </c>
      <c r="BR43" s="97">
        <v>185252</v>
      </c>
      <c r="BS43" s="96">
        <v>80920</v>
      </c>
      <c r="BT43" s="96">
        <v>-7142</v>
      </c>
      <c r="BU43" s="96">
        <v>79816</v>
      </c>
      <c r="BV43" s="96">
        <v>842</v>
      </c>
      <c r="BW43" s="97">
        <v>154436</v>
      </c>
    </row>
    <row r="44" ht="12.75">
      <c r="A44" s="92" t="s">
        <v>108</v>
      </c>
    </row>
    <row r="45" spans="1:75" ht="12.75">
      <c r="A45" s="92" t="s">
        <v>109</v>
      </c>
      <c r="B45" s="96">
        <v>-12122</v>
      </c>
      <c r="C45" s="96">
        <v>7438</v>
      </c>
      <c r="D45" s="96">
        <v>-9603</v>
      </c>
      <c r="E45" s="96">
        <v>15528</v>
      </c>
      <c r="F45" s="97">
        <v>1241</v>
      </c>
      <c r="G45" s="96">
        <v>10199</v>
      </c>
      <c r="H45" s="96">
        <v>29404</v>
      </c>
      <c r="I45" s="96">
        <v>15608</v>
      </c>
      <c r="J45" s="96">
        <v>10051</v>
      </c>
      <c r="K45" s="97">
        <v>65262</v>
      </c>
      <c r="L45" s="96">
        <v>22679</v>
      </c>
      <c r="M45" s="96">
        <v>-10919</v>
      </c>
      <c r="N45" s="96">
        <v>30778</v>
      </c>
      <c r="O45" s="96">
        <v>57443</v>
      </c>
      <c r="P45" s="97">
        <v>99981</v>
      </c>
      <c r="Q45" s="96">
        <v>51747</v>
      </c>
      <c r="R45" s="96">
        <v>29218</v>
      </c>
      <c r="S45" s="96">
        <v>74062</v>
      </c>
      <c r="T45" s="96">
        <v>53543</v>
      </c>
      <c r="U45" s="97">
        <v>208570</v>
      </c>
      <c r="V45" s="96">
        <v>71887</v>
      </c>
      <c r="W45" s="96">
        <v>64250</v>
      </c>
      <c r="X45" s="96">
        <v>56440</v>
      </c>
      <c r="Y45" s="96">
        <v>52342</v>
      </c>
      <c r="Z45" s="97">
        <v>244919</v>
      </c>
      <c r="AA45" s="96">
        <v>122255</v>
      </c>
      <c r="AB45" s="96">
        <v>89598</v>
      </c>
      <c r="AC45" s="96">
        <v>95041</v>
      </c>
      <c r="AD45" s="96">
        <f t="shared" si="0"/>
        <v>22589</v>
      </c>
      <c r="AE45" s="97">
        <v>329483</v>
      </c>
      <c r="AF45" s="96">
        <v>59467</v>
      </c>
      <c r="AG45" s="96">
        <v>26930</v>
      </c>
      <c r="AH45" s="96">
        <v>73449</v>
      </c>
      <c r="AI45" s="96">
        <v>97950</v>
      </c>
      <c r="AJ45" s="97">
        <v>257796</v>
      </c>
      <c r="AK45" s="96">
        <v>65010</v>
      </c>
      <c r="AL45" s="96">
        <v>114674</v>
      </c>
      <c r="AM45" s="96">
        <v>-4904</v>
      </c>
      <c r="AN45" s="96">
        <v>-33309</v>
      </c>
      <c r="AO45" s="97">
        <v>141471</v>
      </c>
      <c r="AP45" s="96">
        <v>-114815</v>
      </c>
      <c r="AQ45" s="96">
        <v>178479</v>
      </c>
      <c r="AR45" s="96">
        <v>12933</v>
      </c>
      <c r="AS45" s="294">
        <v>76597</v>
      </c>
      <c r="AT45" s="96">
        <v>27312</v>
      </c>
      <c r="AU45" s="294">
        <v>18461</v>
      </c>
      <c r="AV45" s="97">
        <v>103909</v>
      </c>
      <c r="AW45" s="291">
        <v>95058</v>
      </c>
      <c r="AX45" s="88">
        <v>19011</v>
      </c>
      <c r="AY45" s="88">
        <v>-43226</v>
      </c>
      <c r="AZ45" s="88">
        <v>92071</v>
      </c>
      <c r="BA45" s="100">
        <v>92071</v>
      </c>
      <c r="BB45" s="100">
        <v>67856</v>
      </c>
      <c r="BC45" s="88">
        <v>32967</v>
      </c>
      <c r="BD45" s="97">
        <v>100823</v>
      </c>
      <c r="BE45" s="372">
        <v>19011</v>
      </c>
      <c r="BF45" s="88">
        <v>-43226</v>
      </c>
      <c r="BG45" s="88">
        <v>92071</v>
      </c>
      <c r="BH45" s="88">
        <v>36102</v>
      </c>
      <c r="BI45" s="88">
        <v>36102</v>
      </c>
      <c r="BJ45" s="97">
        <v>103958</v>
      </c>
      <c r="BK45" s="97">
        <v>103958</v>
      </c>
      <c r="BL45" s="88">
        <v>92663.16641911003</v>
      </c>
      <c r="BM45" s="88">
        <v>53968.11776</v>
      </c>
      <c r="BN45" s="88">
        <v>53968.11776</v>
      </c>
      <c r="BO45" s="88">
        <v>36407.95624000001</v>
      </c>
      <c r="BP45" s="88">
        <v>36468</v>
      </c>
      <c r="BQ45" s="88">
        <v>-29132.013846981106</v>
      </c>
      <c r="BR45" s="97">
        <v>153907</v>
      </c>
      <c r="BS45" s="88">
        <v>73690</v>
      </c>
      <c r="BT45" s="88">
        <v>676</v>
      </c>
      <c r="BU45" s="88">
        <v>67546</v>
      </c>
      <c r="BV45" s="88">
        <v>7739</v>
      </c>
      <c r="BW45" s="540">
        <v>149651</v>
      </c>
    </row>
    <row r="46" spans="1:75" ht="12.75">
      <c r="A46" s="92" t="s">
        <v>316</v>
      </c>
      <c r="B46" s="88">
        <v>2458</v>
      </c>
      <c r="C46" s="88">
        <v>1796</v>
      </c>
      <c r="D46" s="88">
        <v>685</v>
      </c>
      <c r="E46" s="88">
        <v>1120</v>
      </c>
      <c r="F46" s="93">
        <v>6059</v>
      </c>
      <c r="G46" s="88">
        <v>516</v>
      </c>
      <c r="H46" s="88">
        <v>1196</v>
      </c>
      <c r="I46" s="88">
        <v>929</v>
      </c>
      <c r="J46" s="88">
        <v>-2919</v>
      </c>
      <c r="K46" s="93">
        <v>-278</v>
      </c>
      <c r="L46" s="88">
        <v>-772</v>
      </c>
      <c r="M46" s="88">
        <v>1730</v>
      </c>
      <c r="N46" s="88">
        <v>1483</v>
      </c>
      <c r="O46" s="88">
        <v>2455</v>
      </c>
      <c r="P46" s="93">
        <v>4896</v>
      </c>
      <c r="Q46" s="88">
        <v>2387</v>
      </c>
      <c r="R46" s="88">
        <v>804</v>
      </c>
      <c r="S46" s="88">
        <v>1331</v>
      </c>
      <c r="T46" s="88">
        <v>1002</v>
      </c>
      <c r="U46" s="93">
        <v>5524</v>
      </c>
      <c r="V46" s="88">
        <v>2465</v>
      </c>
      <c r="W46" s="88">
        <v>1248</v>
      </c>
      <c r="X46" s="88">
        <v>-1831</v>
      </c>
      <c r="Y46" s="88">
        <v>1198</v>
      </c>
      <c r="Z46" s="93">
        <v>3080</v>
      </c>
      <c r="AA46" s="88">
        <v>-630</v>
      </c>
      <c r="AB46" s="88">
        <v>-983</v>
      </c>
      <c r="AC46" s="88">
        <v>2415</v>
      </c>
      <c r="AD46" s="88">
        <f t="shared" si="0"/>
        <v>7241</v>
      </c>
      <c r="AE46" s="93">
        <v>8043</v>
      </c>
      <c r="AF46" s="88">
        <v>3120</v>
      </c>
      <c r="AG46" s="88">
        <v>665</v>
      </c>
      <c r="AH46" s="88">
        <v>561</v>
      </c>
      <c r="AI46" s="88">
        <v>261</v>
      </c>
      <c r="AJ46" s="93">
        <v>4607</v>
      </c>
      <c r="AK46" s="88">
        <v>33</v>
      </c>
      <c r="AL46" s="88">
        <v>-526</v>
      </c>
      <c r="AM46" s="88">
        <v>-192</v>
      </c>
      <c r="AN46" s="88">
        <v>350</v>
      </c>
      <c r="AO46" s="93">
        <v>-335</v>
      </c>
      <c r="AP46" s="88">
        <v>-2907</v>
      </c>
      <c r="AQ46" s="88">
        <v>2869</v>
      </c>
      <c r="AR46" s="88">
        <v>-337</v>
      </c>
      <c r="AS46" s="100">
        <v>-375</v>
      </c>
      <c r="AT46" s="88">
        <v>-7051</v>
      </c>
      <c r="AU46" s="100">
        <v>-4442</v>
      </c>
      <c r="AV46" s="93">
        <v>-7426</v>
      </c>
      <c r="AW46" s="101">
        <v>-4817</v>
      </c>
      <c r="AX46" s="91">
        <v>-7460</v>
      </c>
      <c r="AY46" s="91">
        <v>-9374</v>
      </c>
      <c r="AZ46" s="91">
        <v>19170</v>
      </c>
      <c r="BA46" s="290">
        <v>19170</v>
      </c>
      <c r="BB46" s="290">
        <v>2336</v>
      </c>
      <c r="BC46" s="91">
        <v>5332</v>
      </c>
      <c r="BD46" s="93">
        <v>7668</v>
      </c>
      <c r="BE46" s="371">
        <v>-7460</v>
      </c>
      <c r="BF46" s="91">
        <v>-9374</v>
      </c>
      <c r="BG46" s="91">
        <v>19170</v>
      </c>
      <c r="BH46" s="91">
        <v>2423</v>
      </c>
      <c r="BI46" s="91">
        <v>2423</v>
      </c>
      <c r="BJ46" s="93">
        <v>4759</v>
      </c>
      <c r="BK46" s="93">
        <v>4759</v>
      </c>
      <c r="BL46" s="91">
        <v>20250</v>
      </c>
      <c r="BM46" s="91">
        <v>12527.882239999999</v>
      </c>
      <c r="BN46" s="91">
        <v>12527.882239999999</v>
      </c>
      <c r="BO46" s="91">
        <v>-560.9562400000068</v>
      </c>
      <c r="BP46" s="91">
        <v>-561</v>
      </c>
      <c r="BQ46" s="91">
        <v>-872</v>
      </c>
      <c r="BR46" s="93">
        <v>31345</v>
      </c>
      <c r="BS46" s="91">
        <v>7230</v>
      </c>
      <c r="BT46" s="91">
        <v>-7818</v>
      </c>
      <c r="BU46" s="91">
        <v>12270</v>
      </c>
      <c r="BV46" s="91">
        <v>-6897</v>
      </c>
      <c r="BW46" s="41">
        <v>4785</v>
      </c>
    </row>
    <row r="47" ht="12.75">
      <c r="A47" s="102"/>
    </row>
    <row r="48" spans="1:75" s="249" customFormat="1" ht="12.75" hidden="1">
      <c r="A48" s="256" t="s">
        <v>421</v>
      </c>
      <c r="AR48" s="248">
        <v>190</v>
      </c>
      <c r="AS48" s="298"/>
      <c r="AT48" s="257">
        <v>300</v>
      </c>
      <c r="AU48" s="298"/>
      <c r="AV48" s="248">
        <v>1235</v>
      </c>
      <c r="AW48" s="293"/>
      <c r="AX48" s="249">
        <v>286</v>
      </c>
      <c r="AY48" s="249">
        <v>-446</v>
      </c>
      <c r="AZ48" s="249">
        <v>1152</v>
      </c>
      <c r="BA48" s="297"/>
      <c r="BB48" s="297"/>
      <c r="BD48" s="248"/>
      <c r="BE48" s="376"/>
      <c r="BJ48" s="248"/>
      <c r="BK48" s="248"/>
      <c r="BR48" s="248"/>
      <c r="BW48" s="248"/>
    </row>
    <row r="49" spans="1:75" s="249" customFormat="1" ht="14.25" hidden="1">
      <c r="A49" s="258" t="s">
        <v>422</v>
      </c>
      <c r="AR49" s="248">
        <v>190</v>
      </c>
      <c r="AS49" s="298"/>
      <c r="AT49" s="257">
        <v>300</v>
      </c>
      <c r="AU49" s="298"/>
      <c r="AV49" s="248">
        <v>1235</v>
      </c>
      <c r="AW49" s="293"/>
      <c r="AX49" s="257">
        <v>267</v>
      </c>
      <c r="AY49" s="257">
        <v>-457</v>
      </c>
      <c r="AZ49" s="257">
        <v>1134</v>
      </c>
      <c r="BA49" s="298"/>
      <c r="BB49" s="298"/>
      <c r="BC49" s="257"/>
      <c r="BD49" s="248"/>
      <c r="BE49" s="377"/>
      <c r="BF49" s="257"/>
      <c r="BG49" s="257"/>
      <c r="BH49" s="257"/>
      <c r="BI49" s="257"/>
      <c r="BJ49" s="248"/>
      <c r="BK49" s="248"/>
      <c r="BL49" s="257"/>
      <c r="BM49" s="257"/>
      <c r="BN49" s="257"/>
      <c r="BO49" s="257"/>
      <c r="BP49" s="257"/>
      <c r="BQ49" s="257"/>
      <c r="BR49" s="248"/>
      <c r="BS49" s="257"/>
      <c r="BT49" s="257"/>
      <c r="BU49" s="257"/>
      <c r="BV49" s="257"/>
      <c r="BW49" s="248"/>
    </row>
    <row r="50" spans="1:75" ht="12.75">
      <c r="A50" s="95" t="s">
        <v>110</v>
      </c>
      <c r="B50" s="96">
        <v>-124</v>
      </c>
      <c r="C50" s="96">
        <v>76</v>
      </c>
      <c r="D50" s="96">
        <v>-98</v>
      </c>
      <c r="E50" s="96">
        <v>159</v>
      </c>
      <c r="F50" s="97">
        <v>13</v>
      </c>
      <c r="G50" s="96">
        <v>104</v>
      </c>
      <c r="H50" s="96">
        <v>300</v>
      </c>
      <c r="I50" s="96">
        <v>160</v>
      </c>
      <c r="J50" s="96">
        <v>111</v>
      </c>
      <c r="K50" s="97">
        <v>675</v>
      </c>
      <c r="L50" s="96">
        <v>243</v>
      </c>
      <c r="M50" s="96">
        <v>-105</v>
      </c>
      <c r="N50" s="96">
        <v>296</v>
      </c>
      <c r="O50" s="96">
        <v>553</v>
      </c>
      <c r="P50" s="97">
        <v>987</v>
      </c>
      <c r="Q50" s="96">
        <v>499</v>
      </c>
      <c r="R50" s="96">
        <v>284</v>
      </c>
      <c r="S50" s="96">
        <v>720</v>
      </c>
      <c r="T50" s="96">
        <v>519</v>
      </c>
      <c r="U50" s="97">
        <v>2022</v>
      </c>
      <c r="V50" s="96">
        <v>697</v>
      </c>
      <c r="W50" s="96">
        <v>630</v>
      </c>
      <c r="X50" s="96">
        <v>557</v>
      </c>
      <c r="Y50" s="96">
        <v>517</v>
      </c>
      <c r="Z50" s="97">
        <v>2401</v>
      </c>
      <c r="AA50" s="96">
        <v>1204</v>
      </c>
      <c r="AB50" s="96">
        <v>943</v>
      </c>
      <c r="AC50" s="96">
        <v>1032</v>
      </c>
      <c r="AD50" s="96">
        <f t="shared" si="0"/>
        <v>245</v>
      </c>
      <c r="AE50" s="97">
        <v>3424</v>
      </c>
      <c r="AF50" s="96">
        <v>643</v>
      </c>
      <c r="AG50" s="96">
        <v>292</v>
      </c>
      <c r="AH50" s="96">
        <v>942</v>
      </c>
      <c r="AI50" s="96">
        <v>1308</v>
      </c>
      <c r="AJ50" s="97">
        <v>3057</v>
      </c>
      <c r="AK50" s="96">
        <v>792</v>
      </c>
      <c r="AL50" s="96">
        <v>1271</v>
      </c>
      <c r="AM50" s="96">
        <v>-54</v>
      </c>
      <c r="AN50" s="96">
        <v>-370</v>
      </c>
      <c r="AO50" s="97">
        <v>1604</v>
      </c>
      <c r="AP50" s="96">
        <v>-1395</v>
      </c>
      <c r="AQ50" s="96">
        <v>2012</v>
      </c>
      <c r="AR50" s="96">
        <v>151</v>
      </c>
      <c r="AS50" s="294">
        <v>907</v>
      </c>
      <c r="AT50" s="96">
        <v>324</v>
      </c>
      <c r="AU50" s="294">
        <v>219</v>
      </c>
      <c r="AV50" s="97">
        <v>1218</v>
      </c>
      <c r="AW50" s="291">
        <v>1114</v>
      </c>
      <c r="AX50" s="96">
        <v>225</v>
      </c>
      <c r="AY50" s="96">
        <v>-512</v>
      </c>
      <c r="AZ50" s="96">
        <v>1091</v>
      </c>
      <c r="BA50" s="294">
        <v>1091</v>
      </c>
      <c r="BB50" s="294">
        <v>804</v>
      </c>
      <c r="BC50" s="96">
        <v>391</v>
      </c>
      <c r="BD50" s="97">
        <v>1194</v>
      </c>
      <c r="BE50" s="373">
        <v>225</v>
      </c>
      <c r="BF50" s="96">
        <v>-512</v>
      </c>
      <c r="BG50" s="96">
        <v>1091</v>
      </c>
      <c r="BH50" s="96">
        <v>428</v>
      </c>
      <c r="BI50" s="96">
        <v>428</v>
      </c>
      <c r="BJ50" s="97">
        <v>1231</v>
      </c>
      <c r="BK50" s="97">
        <v>1231</v>
      </c>
      <c r="BL50" s="96">
        <v>1076</v>
      </c>
      <c r="BM50" s="96">
        <v>618</v>
      </c>
      <c r="BN50" s="96">
        <v>618</v>
      </c>
      <c r="BO50" s="96">
        <v>417</v>
      </c>
      <c r="BP50" s="96">
        <v>417</v>
      </c>
      <c r="BQ50" s="96">
        <v>-334</v>
      </c>
      <c r="BR50" s="97">
        <v>1768</v>
      </c>
      <c r="BS50" s="96">
        <v>840</v>
      </c>
      <c r="BT50" s="96">
        <v>8</v>
      </c>
      <c r="BU50" s="96">
        <v>769</v>
      </c>
      <c r="BV50" s="96">
        <v>88</v>
      </c>
      <c r="BW50" s="97">
        <v>1702</v>
      </c>
    </row>
    <row r="51" spans="1:75" ht="14.25">
      <c r="A51" s="104" t="s">
        <v>317</v>
      </c>
      <c r="B51" s="96"/>
      <c r="C51" s="96"/>
      <c r="D51" s="96"/>
      <c r="E51" s="96"/>
      <c r="F51" s="97"/>
      <c r="G51" s="96"/>
      <c r="H51" s="96"/>
      <c r="I51" s="96"/>
      <c r="J51" s="96"/>
      <c r="K51" s="97"/>
      <c r="L51" s="96">
        <v>243</v>
      </c>
      <c r="M51" s="96">
        <v>-105</v>
      </c>
      <c r="N51" s="96">
        <v>296</v>
      </c>
      <c r="O51" s="96">
        <v>552</v>
      </c>
      <c r="P51" s="97">
        <v>986</v>
      </c>
      <c r="Q51" s="96">
        <v>494</v>
      </c>
      <c r="R51" s="96">
        <v>282</v>
      </c>
      <c r="S51" s="96">
        <v>710</v>
      </c>
      <c r="T51" s="96">
        <v>512</v>
      </c>
      <c r="U51" s="97">
        <v>1998</v>
      </c>
      <c r="V51" s="96">
        <v>689</v>
      </c>
      <c r="W51" s="96">
        <v>623</v>
      </c>
      <c r="X51" s="96">
        <v>552</v>
      </c>
      <c r="Y51" s="96">
        <v>513</v>
      </c>
      <c r="Z51" s="97">
        <v>2377</v>
      </c>
      <c r="AA51" s="96">
        <v>1192</v>
      </c>
      <c r="AB51" s="96">
        <v>934</v>
      </c>
      <c r="AC51" s="96">
        <v>901</v>
      </c>
      <c r="AD51" s="96">
        <f t="shared" si="0"/>
        <v>349</v>
      </c>
      <c r="AE51" s="97">
        <v>3376</v>
      </c>
      <c r="AF51" s="96">
        <v>595</v>
      </c>
      <c r="AG51" s="96">
        <v>291</v>
      </c>
      <c r="AH51" s="96">
        <v>785</v>
      </c>
      <c r="AI51" s="96">
        <v>1001</v>
      </c>
      <c r="AJ51" s="97">
        <v>2981</v>
      </c>
      <c r="AK51" s="96">
        <v>671</v>
      </c>
      <c r="AL51" s="96">
        <v>1163</v>
      </c>
      <c r="AM51" s="96">
        <v>-284</v>
      </c>
      <c r="AN51" s="96">
        <v>-698</v>
      </c>
      <c r="AO51" s="97">
        <v>816</v>
      </c>
      <c r="AP51" s="96">
        <v>-1395</v>
      </c>
      <c r="AQ51" s="96">
        <v>1885</v>
      </c>
      <c r="AR51" s="96">
        <v>151</v>
      </c>
      <c r="AS51" s="294">
        <v>907</v>
      </c>
      <c r="AT51" s="96">
        <v>324</v>
      </c>
      <c r="AU51" s="294">
        <v>219</v>
      </c>
      <c r="AV51" s="97">
        <v>1218</v>
      </c>
      <c r="AW51" s="291">
        <v>1114</v>
      </c>
      <c r="AX51" s="91">
        <v>210</v>
      </c>
      <c r="AY51" s="91">
        <v>-519</v>
      </c>
      <c r="AZ51" s="91">
        <v>1076</v>
      </c>
      <c r="BA51" s="290">
        <v>1076</v>
      </c>
      <c r="BB51" s="290">
        <v>804</v>
      </c>
      <c r="BC51" s="91">
        <v>362</v>
      </c>
      <c r="BD51" s="97">
        <v>1174</v>
      </c>
      <c r="BE51" s="371">
        <v>225</v>
      </c>
      <c r="BF51" s="91">
        <v>-519</v>
      </c>
      <c r="BG51" s="91">
        <v>1076</v>
      </c>
      <c r="BH51" s="91">
        <v>397</v>
      </c>
      <c r="BI51" s="91">
        <v>397</v>
      </c>
      <c r="BJ51" s="97">
        <v>1209</v>
      </c>
      <c r="BK51" s="97">
        <v>1209</v>
      </c>
      <c r="BL51" s="91">
        <v>1076</v>
      </c>
      <c r="BM51" s="91">
        <v>420</v>
      </c>
      <c r="BN51" s="91">
        <v>420</v>
      </c>
      <c r="BO51" s="91">
        <v>175</v>
      </c>
      <c r="BP51" s="96">
        <v>175</v>
      </c>
      <c r="BQ51" s="96">
        <v>-334</v>
      </c>
      <c r="BR51" s="97">
        <v>1541</v>
      </c>
      <c r="BS51" s="91">
        <v>705</v>
      </c>
      <c r="BT51" s="91">
        <v>8</v>
      </c>
      <c r="BU51" s="91">
        <v>724</v>
      </c>
      <c r="BV51" s="91">
        <v>-28</v>
      </c>
      <c r="BW51" s="97">
        <v>1468</v>
      </c>
    </row>
    <row r="52" ht="12.75">
      <c r="A52" s="98"/>
    </row>
    <row r="53" ht="12.75">
      <c r="A53" s="3" t="s">
        <v>478</v>
      </c>
    </row>
    <row r="54" ht="12.75">
      <c r="A54" s="3" t="s">
        <v>523</v>
      </c>
    </row>
  </sheetData>
  <sheetProtection/>
  <printOptions/>
  <pageMargins left="0.75" right="0.75" top="1" bottom="1" header="0.5" footer="0.5"/>
  <pageSetup fitToHeight="1" fitToWidth="1" horizontalDpi="300" verticalDpi="300" orientation="landscape" paperSize="9" scale="20" r:id="rId1"/>
</worksheet>
</file>

<file path=xl/worksheets/sheet12.xml><?xml version="1.0" encoding="utf-8"?>
<worksheet xmlns="http://schemas.openxmlformats.org/spreadsheetml/2006/main" xmlns:r="http://schemas.openxmlformats.org/officeDocument/2006/relationships">
  <sheetPr>
    <tabColor indexed="52"/>
    <pageSetUpPr fitToPage="1"/>
  </sheetPr>
  <dimension ref="A1:BD57"/>
  <sheetViews>
    <sheetView zoomScalePageLayoutView="0" workbookViewId="0" topLeftCell="A1">
      <pane xSplit="1" ySplit="1" topLeftCell="AV2" activePane="bottomRight" state="frozen"/>
      <selection pane="topLeft" activeCell="AR8" sqref="AR8"/>
      <selection pane="topRight" activeCell="AR8" sqref="AR8"/>
      <selection pane="bottomLeft" activeCell="AR8" sqref="AR8"/>
      <selection pane="bottomRight" activeCell="A1" sqref="A1"/>
    </sheetView>
  </sheetViews>
  <sheetFormatPr defaultColWidth="9.140625" defaultRowHeight="12.75" zeroHeight="1" outlineLevelCol="1"/>
  <cols>
    <col min="1" max="1" width="54.7109375" style="91" customWidth="1"/>
    <col min="2" max="17" width="13.421875" style="91" customWidth="1" outlineLevel="1"/>
    <col min="18" max="37" width="13.421875" style="91" customWidth="1"/>
    <col min="38" max="38" width="13.421875" style="290" customWidth="1"/>
    <col min="39" max="42" width="13.421875" style="91" customWidth="1"/>
    <col min="43" max="43" width="13.421875" style="371" customWidth="1"/>
    <col min="44" max="56" width="13.421875" style="91" customWidth="1"/>
    <col min="57" max="16384" width="9.140625" style="91" customWidth="1"/>
  </cols>
  <sheetData>
    <row r="1" spans="1:56" s="85" customFormat="1" ht="42.75" customHeight="1">
      <c r="A1" s="84" t="s">
        <v>111</v>
      </c>
      <c r="B1" s="83">
        <v>36981</v>
      </c>
      <c r="C1" s="83">
        <v>37072</v>
      </c>
      <c r="D1" s="83">
        <v>37164</v>
      </c>
      <c r="E1" s="83">
        <v>37256</v>
      </c>
      <c r="F1" s="83">
        <v>37346</v>
      </c>
      <c r="G1" s="83">
        <v>37437</v>
      </c>
      <c r="H1" s="83">
        <v>37529</v>
      </c>
      <c r="I1" s="159" t="s">
        <v>256</v>
      </c>
      <c r="J1" s="83">
        <v>37711</v>
      </c>
      <c r="K1" s="83">
        <v>37802</v>
      </c>
      <c r="L1" s="83">
        <v>37894</v>
      </c>
      <c r="M1" s="159" t="s">
        <v>257</v>
      </c>
      <c r="N1" s="83">
        <v>38077</v>
      </c>
      <c r="O1" s="83">
        <v>38168</v>
      </c>
      <c r="P1" s="83">
        <v>38260</v>
      </c>
      <c r="Q1" s="159" t="s">
        <v>258</v>
      </c>
      <c r="R1" s="83">
        <v>38442</v>
      </c>
      <c r="S1" s="83">
        <v>38533</v>
      </c>
      <c r="T1" s="83">
        <v>38625</v>
      </c>
      <c r="U1" s="83" t="s">
        <v>265</v>
      </c>
      <c r="V1" s="83">
        <v>38807</v>
      </c>
      <c r="W1" s="83">
        <v>38898</v>
      </c>
      <c r="X1" s="83">
        <v>38990</v>
      </c>
      <c r="Y1" s="83" t="s">
        <v>275</v>
      </c>
      <c r="Z1" s="83">
        <v>39172</v>
      </c>
      <c r="AA1" s="83">
        <v>39263</v>
      </c>
      <c r="AB1" s="83">
        <v>39355</v>
      </c>
      <c r="AC1" s="83" t="s">
        <v>297</v>
      </c>
      <c r="AD1" s="83">
        <v>39538</v>
      </c>
      <c r="AE1" s="83">
        <v>39629</v>
      </c>
      <c r="AF1" s="83">
        <v>39721</v>
      </c>
      <c r="AG1" s="83" t="s">
        <v>295</v>
      </c>
      <c r="AH1" s="83">
        <v>39903</v>
      </c>
      <c r="AI1" s="83">
        <v>39994</v>
      </c>
      <c r="AJ1" s="83">
        <v>40086</v>
      </c>
      <c r="AK1" s="83" t="s">
        <v>334</v>
      </c>
      <c r="AL1" s="299" t="s">
        <v>464</v>
      </c>
      <c r="AM1" s="83">
        <v>40268</v>
      </c>
      <c r="AN1" s="83">
        <v>40359</v>
      </c>
      <c r="AO1" s="83">
        <v>40451</v>
      </c>
      <c r="AP1" s="83">
        <v>40543</v>
      </c>
      <c r="AQ1" s="441" t="s">
        <v>546</v>
      </c>
      <c r="AR1" s="83" t="s">
        <v>555</v>
      </c>
      <c r="AS1" s="83" t="s">
        <v>562</v>
      </c>
      <c r="AT1" s="83" t="s">
        <v>547</v>
      </c>
      <c r="AU1" s="83" t="s">
        <v>593</v>
      </c>
      <c r="AV1" s="83" t="s">
        <v>603</v>
      </c>
      <c r="AW1" s="83">
        <v>40724</v>
      </c>
      <c r="AX1" s="83" t="s">
        <v>606</v>
      </c>
      <c r="AY1" s="83">
        <v>40816</v>
      </c>
      <c r="AZ1" s="83">
        <v>40908</v>
      </c>
      <c r="BA1" s="83">
        <v>40999</v>
      </c>
      <c r="BB1" s="83">
        <v>41090</v>
      </c>
      <c r="BC1" s="83">
        <v>41182</v>
      </c>
      <c r="BD1" s="83">
        <v>41274</v>
      </c>
    </row>
    <row r="2" ht="12.75" customHeight="1">
      <c r="A2" s="98"/>
    </row>
    <row r="3" ht="12.75">
      <c r="A3" s="95" t="s">
        <v>112</v>
      </c>
    </row>
    <row r="4" spans="1:43" ht="12.75">
      <c r="A4" s="95" t="s">
        <v>113</v>
      </c>
      <c r="AQ4" s="91">
        <v>25560</v>
      </c>
    </row>
    <row r="5" spans="1:56" ht="12.75">
      <c r="A5" s="92" t="s">
        <v>114</v>
      </c>
      <c r="B5" s="88">
        <v>12023</v>
      </c>
      <c r="C5" s="88">
        <v>12748</v>
      </c>
      <c r="D5" s="88">
        <v>11933</v>
      </c>
      <c r="E5" s="93">
        <v>18785</v>
      </c>
      <c r="F5" s="88">
        <v>19767</v>
      </c>
      <c r="G5" s="88">
        <v>21895</v>
      </c>
      <c r="H5" s="88">
        <v>22388</v>
      </c>
      <c r="I5" s="93">
        <v>26000</v>
      </c>
      <c r="J5" s="88">
        <v>22687</v>
      </c>
      <c r="K5" s="88">
        <v>27945</v>
      </c>
      <c r="L5" s="88">
        <v>28731</v>
      </c>
      <c r="M5" s="93">
        <v>29160</v>
      </c>
      <c r="N5" s="88">
        <v>-3500</v>
      </c>
      <c r="O5" s="88">
        <v>-3994</v>
      </c>
      <c r="P5" s="88">
        <v>-1206</v>
      </c>
      <c r="Q5" s="93">
        <v>5401</v>
      </c>
      <c r="R5" s="88">
        <v>28837</v>
      </c>
      <c r="S5" s="88">
        <v>33173</v>
      </c>
      <c r="T5" s="88">
        <v>33810</v>
      </c>
      <c r="U5" s="93">
        <v>40740</v>
      </c>
      <c r="V5" s="88">
        <v>39087</v>
      </c>
      <c r="W5" s="88">
        <v>39135</v>
      </c>
      <c r="X5" s="88">
        <v>39394</v>
      </c>
      <c r="Y5" s="93">
        <v>92598</v>
      </c>
      <c r="Z5" s="88">
        <v>89745</v>
      </c>
      <c r="AA5" s="88">
        <v>103798</v>
      </c>
      <c r="AB5" s="88">
        <v>103372</v>
      </c>
      <c r="AC5" s="93">
        <v>160553</v>
      </c>
      <c r="AD5" s="88">
        <v>166600</v>
      </c>
      <c r="AE5" s="88">
        <v>159358</v>
      </c>
      <c r="AF5" s="88">
        <v>174500</v>
      </c>
      <c r="AG5" s="93">
        <v>191342</v>
      </c>
      <c r="AH5" s="88">
        <v>212802</v>
      </c>
      <c r="AI5" s="88">
        <v>336854</v>
      </c>
      <c r="AJ5" s="88">
        <v>335234</v>
      </c>
      <c r="AK5" s="93">
        <v>400329</v>
      </c>
      <c r="AL5" s="101">
        <v>355828</v>
      </c>
      <c r="AM5" s="88">
        <v>430179</v>
      </c>
      <c r="AN5" s="88">
        <v>392410</v>
      </c>
      <c r="AO5" s="88">
        <v>375151</v>
      </c>
      <c r="AP5" s="88">
        <v>315350</v>
      </c>
      <c r="AQ5" s="91">
        <v>498</v>
      </c>
      <c r="AR5" s="88">
        <v>392440</v>
      </c>
      <c r="AS5" s="88">
        <v>375151</v>
      </c>
      <c r="AT5" s="88">
        <v>318158</v>
      </c>
      <c r="AU5" s="88">
        <v>318158</v>
      </c>
      <c r="AV5" s="88">
        <v>306417</v>
      </c>
      <c r="AW5" s="88">
        <v>304094</v>
      </c>
      <c r="AX5" s="88">
        <v>304094</v>
      </c>
      <c r="AY5" s="88">
        <v>333107</v>
      </c>
      <c r="AZ5" s="88">
        <v>338552</v>
      </c>
      <c r="BA5" s="88">
        <v>317476</v>
      </c>
      <c r="BB5" s="88">
        <v>309881</v>
      </c>
      <c r="BC5" s="88">
        <v>313177</v>
      </c>
      <c r="BD5" s="73">
        <v>347088</v>
      </c>
    </row>
    <row r="6" spans="1:56" ht="12.75">
      <c r="A6" s="92" t="s">
        <v>441</v>
      </c>
      <c r="B6" s="88">
        <v>531387</v>
      </c>
      <c r="C6" s="88">
        <v>515492</v>
      </c>
      <c r="D6" s="88">
        <v>511613</v>
      </c>
      <c r="E6" s="93">
        <v>488790</v>
      </c>
      <c r="F6" s="88">
        <v>476481</v>
      </c>
      <c r="G6" s="88">
        <v>463536</v>
      </c>
      <c r="H6" s="88">
        <v>457273</v>
      </c>
      <c r="I6" s="93">
        <v>472739</v>
      </c>
      <c r="J6" s="88">
        <v>482556</v>
      </c>
      <c r="K6" s="88">
        <v>787150</v>
      </c>
      <c r="L6" s="88">
        <v>788817</v>
      </c>
      <c r="M6" s="93">
        <v>855951</v>
      </c>
      <c r="N6" s="88">
        <v>853513</v>
      </c>
      <c r="O6" s="88">
        <v>878780</v>
      </c>
      <c r="P6" s="88">
        <v>887300</v>
      </c>
      <c r="Q6" s="93">
        <v>925069</v>
      </c>
      <c r="R6" s="88">
        <v>927263</v>
      </c>
      <c r="S6" s="88">
        <v>974241</v>
      </c>
      <c r="T6" s="88">
        <v>1024509</v>
      </c>
      <c r="U6" s="93">
        <v>1112753</v>
      </c>
      <c r="V6" s="88">
        <v>999347</v>
      </c>
      <c r="W6" s="88">
        <v>1010417</v>
      </c>
      <c r="X6" s="88">
        <v>1009045</v>
      </c>
      <c r="Y6" s="93">
        <v>1027148</v>
      </c>
      <c r="Z6" s="88">
        <v>1008564</v>
      </c>
      <c r="AA6" s="88">
        <v>985068</v>
      </c>
      <c r="AB6" s="88">
        <v>998095</v>
      </c>
      <c r="AC6" s="93">
        <v>1173686</v>
      </c>
      <c r="AD6" s="88">
        <v>1204926</v>
      </c>
      <c r="AE6" s="88">
        <v>1234650</v>
      </c>
      <c r="AF6" s="88">
        <v>1282049</v>
      </c>
      <c r="AG6" s="93">
        <v>1415832</v>
      </c>
      <c r="AH6" s="88">
        <v>1529462</v>
      </c>
      <c r="AI6" s="88">
        <v>2226148</v>
      </c>
      <c r="AJ6" s="88">
        <v>2287974</v>
      </c>
      <c r="AK6" s="93">
        <v>2577151</v>
      </c>
      <c r="AL6" s="101">
        <v>2555220</v>
      </c>
      <c r="AM6" s="88">
        <v>2530176</v>
      </c>
      <c r="AN6" s="88">
        <v>2701378</v>
      </c>
      <c r="AO6" s="88">
        <v>2610744</v>
      </c>
      <c r="AP6" s="88">
        <v>2679710</v>
      </c>
      <c r="AQ6" s="372">
        <v>2531007</v>
      </c>
      <c r="AR6" s="88">
        <v>2702642</v>
      </c>
      <c r="AS6" s="88">
        <v>2610744</v>
      </c>
      <c r="AT6" s="88">
        <v>2676262</v>
      </c>
      <c r="AU6" s="88">
        <v>2685785</v>
      </c>
      <c r="AV6" s="88">
        <v>2557312.2191806654</v>
      </c>
      <c r="AW6" s="88">
        <v>2501831</v>
      </c>
      <c r="AX6" s="88">
        <v>2504690</v>
      </c>
      <c r="AY6" s="88">
        <v>2669796</v>
      </c>
      <c r="AZ6" s="88">
        <v>2824917</v>
      </c>
      <c r="BA6" s="88">
        <v>2683526</v>
      </c>
      <c r="BB6" s="88">
        <v>2633011</v>
      </c>
      <c r="BC6" s="88">
        <v>2586282</v>
      </c>
      <c r="BD6" s="73">
        <v>2612545</v>
      </c>
    </row>
    <row r="7" spans="1:56" ht="12.75">
      <c r="A7" s="92" t="s">
        <v>488</v>
      </c>
      <c r="B7" s="88">
        <v>111994</v>
      </c>
      <c r="C7" s="88">
        <v>112726</v>
      </c>
      <c r="D7" s="88">
        <v>113113</v>
      </c>
      <c r="E7" s="93">
        <v>105913</v>
      </c>
      <c r="F7" s="88">
        <v>107381</v>
      </c>
      <c r="G7" s="88">
        <v>101266</v>
      </c>
      <c r="H7" s="88">
        <v>108615</v>
      </c>
      <c r="I7" s="93">
        <v>105725</v>
      </c>
      <c r="J7" s="88">
        <v>225969</v>
      </c>
      <c r="K7" s="88">
        <v>25184</v>
      </c>
      <c r="L7" s="88">
        <v>24251</v>
      </c>
      <c r="M7" s="93">
        <v>134435</v>
      </c>
      <c r="N7" s="88">
        <v>116902</v>
      </c>
      <c r="O7" s="88">
        <v>121180</v>
      </c>
      <c r="P7" s="88">
        <v>123841</v>
      </c>
      <c r="Q7" s="93">
        <v>118167</v>
      </c>
      <c r="R7" s="88">
        <v>142471</v>
      </c>
      <c r="S7" s="88">
        <v>123382</v>
      </c>
      <c r="T7" s="88">
        <v>124127</v>
      </c>
      <c r="U7" s="93">
        <v>126840</v>
      </c>
      <c r="V7" s="88">
        <v>135615</v>
      </c>
      <c r="W7" s="105"/>
      <c r="X7" s="105"/>
      <c r="Y7" s="106"/>
      <c r="Z7" s="105"/>
      <c r="AA7" s="105"/>
      <c r="AB7" s="105"/>
      <c r="AC7" s="106"/>
      <c r="AD7" s="105"/>
      <c r="AE7" s="105"/>
      <c r="AF7" s="105"/>
      <c r="AG7" s="93"/>
      <c r="AH7" s="105"/>
      <c r="AI7" s="105"/>
      <c r="AJ7" s="105"/>
      <c r="AK7" s="106"/>
      <c r="AL7" s="300"/>
      <c r="AM7" s="105"/>
      <c r="AN7" s="105"/>
      <c r="AO7" s="105"/>
      <c r="AP7" s="105"/>
      <c r="AQ7" s="442"/>
      <c r="AR7" s="105"/>
      <c r="AS7" s="105"/>
      <c r="AT7" s="105"/>
      <c r="AU7" s="105"/>
      <c r="AV7" s="105"/>
      <c r="AW7" s="105"/>
      <c r="AX7" s="105"/>
      <c r="AY7" s="105"/>
      <c r="AZ7" s="105"/>
      <c r="BA7" s="105"/>
      <c r="BB7" s="105"/>
      <c r="BC7" s="105"/>
      <c r="BD7" s="105"/>
    </row>
    <row r="8" spans="1:56" ht="12.75">
      <c r="A8" s="92" t="s">
        <v>487</v>
      </c>
      <c r="B8" s="105"/>
      <c r="C8" s="105"/>
      <c r="D8" s="105"/>
      <c r="E8" s="106"/>
      <c r="F8" s="105"/>
      <c r="G8" s="105"/>
      <c r="H8" s="105"/>
      <c r="I8" s="106"/>
      <c r="J8" s="105"/>
      <c r="K8" s="105"/>
      <c r="L8" s="105"/>
      <c r="M8" s="106"/>
      <c r="N8" s="105"/>
      <c r="O8" s="105"/>
      <c r="P8" s="105"/>
      <c r="Q8" s="106"/>
      <c r="R8" s="105"/>
      <c r="S8" s="105"/>
      <c r="T8" s="105"/>
      <c r="U8" s="106"/>
      <c r="V8" s="105"/>
      <c r="W8" s="88">
        <v>149767</v>
      </c>
      <c r="X8" s="88">
        <v>141817</v>
      </c>
      <c r="Y8" s="93">
        <v>131569</v>
      </c>
      <c r="Z8" s="88">
        <v>134636</v>
      </c>
      <c r="AA8" s="88">
        <v>135944</v>
      </c>
      <c r="AB8" s="88">
        <v>142951</v>
      </c>
      <c r="AC8" s="93">
        <v>144754</v>
      </c>
      <c r="AD8" s="88">
        <v>153948</v>
      </c>
      <c r="AE8" s="88">
        <v>140207</v>
      </c>
      <c r="AF8" s="88">
        <v>141559</v>
      </c>
      <c r="AG8" s="93">
        <v>338956</v>
      </c>
      <c r="AH8" s="88">
        <v>378241</v>
      </c>
      <c r="AI8" s="88">
        <v>78562</v>
      </c>
      <c r="AJ8" s="88">
        <v>67549</v>
      </c>
      <c r="AK8" s="93">
        <v>59856</v>
      </c>
      <c r="AL8" s="101">
        <v>59830</v>
      </c>
      <c r="AM8" s="88">
        <v>67864</v>
      </c>
      <c r="AN8" s="88">
        <v>79944</v>
      </c>
      <c r="AO8" s="88">
        <v>74437</v>
      </c>
      <c r="AP8" s="88">
        <v>73561</v>
      </c>
      <c r="AQ8" s="372">
        <v>67864</v>
      </c>
      <c r="AR8" s="88">
        <v>79944</v>
      </c>
      <c r="AS8" s="88">
        <v>74437</v>
      </c>
      <c r="AT8" s="88">
        <v>73004</v>
      </c>
      <c r="AU8" s="88">
        <v>73004</v>
      </c>
      <c r="AV8" s="88">
        <v>71298</v>
      </c>
      <c r="AW8" s="88">
        <v>70883</v>
      </c>
      <c r="AX8" s="88">
        <v>70883</v>
      </c>
      <c r="AY8" s="88">
        <v>87118</v>
      </c>
      <c r="AZ8" s="88">
        <v>104797</v>
      </c>
      <c r="BA8" s="88">
        <v>110416</v>
      </c>
      <c r="BB8" s="88">
        <v>114844</v>
      </c>
      <c r="BC8" s="88">
        <v>119175</v>
      </c>
      <c r="BD8" s="73">
        <v>120317</v>
      </c>
    </row>
    <row r="9" spans="1:56" ht="12.75">
      <c r="A9" s="92" t="s">
        <v>489</v>
      </c>
      <c r="B9" s="105"/>
      <c r="C9" s="105"/>
      <c r="D9" s="105"/>
      <c r="E9" s="106"/>
      <c r="F9" s="105"/>
      <c r="G9" s="105"/>
      <c r="H9" s="105"/>
      <c r="I9" s="106"/>
      <c r="J9" s="105"/>
      <c r="K9" s="105"/>
      <c r="L9" s="105"/>
      <c r="M9" s="106"/>
      <c r="N9" s="105"/>
      <c r="O9" s="105"/>
      <c r="P9" s="105"/>
      <c r="Q9" s="106"/>
      <c r="R9" s="105"/>
      <c r="S9" s="105"/>
      <c r="T9" s="105"/>
      <c r="U9" s="106"/>
      <c r="V9" s="105"/>
      <c r="W9" s="88">
        <v>563</v>
      </c>
      <c r="X9" s="88">
        <v>454</v>
      </c>
      <c r="Y9" s="93">
        <v>1597</v>
      </c>
      <c r="Z9" s="88">
        <v>1597</v>
      </c>
      <c r="AA9" s="88">
        <v>1597</v>
      </c>
      <c r="AB9" s="88">
        <v>1597</v>
      </c>
      <c r="AC9" s="93">
        <v>1362</v>
      </c>
      <c r="AD9" s="88">
        <v>1362</v>
      </c>
      <c r="AE9" s="88">
        <v>1002</v>
      </c>
      <c r="AF9" s="88">
        <v>967</v>
      </c>
      <c r="AG9" s="93">
        <v>1147</v>
      </c>
      <c r="AH9" s="88">
        <v>842</v>
      </c>
      <c r="AI9" s="88">
        <v>12614</v>
      </c>
      <c r="AJ9" s="88">
        <v>14699</v>
      </c>
      <c r="AK9" s="93">
        <v>18572</v>
      </c>
      <c r="AL9" s="101">
        <v>18614</v>
      </c>
      <c r="AM9" s="88">
        <v>16823</v>
      </c>
      <c r="AN9" s="88">
        <v>17862</v>
      </c>
      <c r="AO9" s="88">
        <v>18332</v>
      </c>
      <c r="AP9" s="88">
        <v>20858</v>
      </c>
      <c r="AQ9" s="372">
        <v>16823</v>
      </c>
      <c r="AR9" s="88">
        <v>17862</v>
      </c>
      <c r="AS9" s="88">
        <v>18332</v>
      </c>
      <c r="AT9" s="88">
        <v>21501</v>
      </c>
      <c r="AU9" s="88">
        <v>21501</v>
      </c>
      <c r="AV9" s="88">
        <v>20433</v>
      </c>
      <c r="AW9" s="88">
        <v>20113</v>
      </c>
      <c r="AX9" s="88">
        <v>20113</v>
      </c>
      <c r="AY9" s="88">
        <v>18821</v>
      </c>
      <c r="AZ9" s="88">
        <v>20649</v>
      </c>
      <c r="BA9" s="88">
        <v>21507</v>
      </c>
      <c r="BB9" s="88">
        <v>18840</v>
      </c>
      <c r="BC9" s="88">
        <v>18684</v>
      </c>
      <c r="BD9" s="73">
        <v>20571</v>
      </c>
    </row>
    <row r="10" spans="1:56" ht="12.75">
      <c r="A10" s="92" t="s">
        <v>115</v>
      </c>
      <c r="B10" s="88">
        <v>11952</v>
      </c>
      <c r="C10" s="88">
        <v>16791</v>
      </c>
      <c r="D10" s="88">
        <v>20422</v>
      </c>
      <c r="E10" s="93">
        <v>19035</v>
      </c>
      <c r="F10" s="88">
        <v>18640</v>
      </c>
      <c r="G10" s="88">
        <v>17022</v>
      </c>
      <c r="H10" s="88">
        <v>18123</v>
      </c>
      <c r="I10" s="93">
        <v>18134</v>
      </c>
      <c r="J10" s="88">
        <v>21522</v>
      </c>
      <c r="K10" s="88">
        <v>20716</v>
      </c>
      <c r="L10" s="88">
        <v>20856</v>
      </c>
      <c r="M10" s="93">
        <v>52895</v>
      </c>
      <c r="N10" s="88">
        <v>47593</v>
      </c>
      <c r="O10" s="88">
        <v>44520</v>
      </c>
      <c r="P10" s="88">
        <v>40222</v>
      </c>
      <c r="Q10" s="93">
        <v>36210</v>
      </c>
      <c r="R10" s="88">
        <v>34439</v>
      </c>
      <c r="S10" s="88">
        <v>34175</v>
      </c>
      <c r="T10" s="88">
        <v>33804</v>
      </c>
      <c r="U10" s="93">
        <v>33480</v>
      </c>
      <c r="V10" s="88">
        <v>20855</v>
      </c>
      <c r="W10" s="88">
        <v>23250</v>
      </c>
      <c r="X10" s="88">
        <v>21100</v>
      </c>
      <c r="Y10" s="93">
        <v>20500</v>
      </c>
      <c r="Z10" s="88">
        <v>20429</v>
      </c>
      <c r="AA10" s="88">
        <v>19705</v>
      </c>
      <c r="AB10" s="88">
        <v>18231</v>
      </c>
      <c r="AC10" s="93">
        <v>20162</v>
      </c>
      <c r="AD10" s="88">
        <v>34354</v>
      </c>
      <c r="AE10" s="88">
        <v>34593</v>
      </c>
      <c r="AF10" s="88">
        <v>36189</v>
      </c>
      <c r="AG10" s="93">
        <v>70497</v>
      </c>
      <c r="AH10" s="88">
        <v>48815</v>
      </c>
      <c r="AI10" s="88">
        <v>37933</v>
      </c>
      <c r="AJ10" s="88">
        <v>24851</v>
      </c>
      <c r="AK10" s="93">
        <v>32468</v>
      </c>
      <c r="AL10" s="101">
        <v>36855</v>
      </c>
      <c r="AM10" s="88">
        <v>25947</v>
      </c>
      <c r="AN10" s="88">
        <v>30592</v>
      </c>
      <c r="AO10" s="88">
        <v>24040</v>
      </c>
      <c r="AP10" s="88">
        <v>16693</v>
      </c>
      <c r="AQ10" s="372">
        <v>25947</v>
      </c>
      <c r="AR10" s="88">
        <v>30592</v>
      </c>
      <c r="AS10" s="88">
        <v>24040</v>
      </c>
      <c r="AT10" s="88">
        <v>12682</v>
      </c>
      <c r="AU10" s="88">
        <v>12682</v>
      </c>
      <c r="AV10" s="88">
        <v>11153</v>
      </c>
      <c r="AW10" s="88">
        <v>13181</v>
      </c>
      <c r="AX10" s="88">
        <v>13181</v>
      </c>
      <c r="AY10" s="88">
        <v>22174</v>
      </c>
      <c r="AZ10" s="88">
        <v>42417</v>
      </c>
      <c r="BA10" s="88">
        <v>45215</v>
      </c>
      <c r="BB10" s="88">
        <v>48792</v>
      </c>
      <c r="BC10" s="88">
        <v>40542</v>
      </c>
      <c r="BD10" s="73">
        <v>34834</v>
      </c>
    </row>
    <row r="11" spans="1:56" ht="12.75">
      <c r="A11" s="92" t="s">
        <v>116</v>
      </c>
      <c r="B11" s="88">
        <v>2220</v>
      </c>
      <c r="C11" s="88">
        <v>1913</v>
      </c>
      <c r="D11" s="88">
        <v>3295</v>
      </c>
      <c r="E11" s="93">
        <v>3374</v>
      </c>
      <c r="F11" s="88">
        <v>3383</v>
      </c>
      <c r="G11" s="88">
        <v>4056</v>
      </c>
      <c r="H11" s="88">
        <v>3980</v>
      </c>
      <c r="I11" s="93">
        <v>8123</v>
      </c>
      <c r="J11" s="88">
        <v>11826</v>
      </c>
      <c r="K11" s="88">
        <v>14336</v>
      </c>
      <c r="L11" s="88">
        <v>14288</v>
      </c>
      <c r="M11" s="93">
        <v>19333</v>
      </c>
      <c r="N11" s="88">
        <v>18068</v>
      </c>
      <c r="O11" s="88">
        <v>17603</v>
      </c>
      <c r="P11" s="88">
        <v>10765</v>
      </c>
      <c r="Q11" s="93">
        <v>16538</v>
      </c>
      <c r="R11" s="88">
        <v>14950</v>
      </c>
      <c r="S11" s="88">
        <v>15286</v>
      </c>
      <c r="T11" s="88">
        <v>17620</v>
      </c>
      <c r="U11" s="93">
        <v>30363</v>
      </c>
      <c r="V11" s="88">
        <v>30376</v>
      </c>
      <c r="W11" s="88">
        <v>33786</v>
      </c>
      <c r="X11" s="88">
        <v>31097</v>
      </c>
      <c r="Y11" s="93">
        <v>26936</v>
      </c>
      <c r="Z11" s="88">
        <v>25899</v>
      </c>
      <c r="AA11" s="88">
        <v>25088</v>
      </c>
      <c r="AB11" s="88">
        <v>27356</v>
      </c>
      <c r="AC11" s="93">
        <v>32567</v>
      </c>
      <c r="AD11" s="88">
        <v>34917</v>
      </c>
      <c r="AE11" s="88">
        <v>29368</v>
      </c>
      <c r="AF11" s="88">
        <v>26899</v>
      </c>
      <c r="AG11" s="93">
        <v>24025</v>
      </c>
      <c r="AH11" s="88">
        <v>23738</v>
      </c>
      <c r="AI11" s="88">
        <v>53643</v>
      </c>
      <c r="AJ11" s="88">
        <v>62741</v>
      </c>
      <c r="AK11" s="93">
        <v>47549</v>
      </c>
      <c r="AL11" s="101">
        <v>47512</v>
      </c>
      <c r="AM11" s="88">
        <v>42297</v>
      </c>
      <c r="AN11" s="88">
        <v>43550</v>
      </c>
      <c r="AO11" s="88">
        <v>42666</v>
      </c>
      <c r="AP11" s="88">
        <v>42232</v>
      </c>
      <c r="AQ11" s="372">
        <v>42297</v>
      </c>
      <c r="AR11" s="88">
        <v>43550</v>
      </c>
      <c r="AS11" s="88">
        <v>42666</v>
      </c>
      <c r="AT11" s="88">
        <v>42104</v>
      </c>
      <c r="AU11" s="88">
        <v>42104</v>
      </c>
      <c r="AV11" s="88">
        <v>38799</v>
      </c>
      <c r="AW11" s="88">
        <v>38214</v>
      </c>
      <c r="AX11" s="88">
        <v>38214</v>
      </c>
      <c r="AY11" s="88">
        <v>37874</v>
      </c>
      <c r="AZ11" s="88">
        <v>36948</v>
      </c>
      <c r="BA11" s="88">
        <v>35590</v>
      </c>
      <c r="BB11" s="88">
        <v>31636</v>
      </c>
      <c r="BC11" s="88">
        <v>30307</v>
      </c>
      <c r="BD11" s="73">
        <v>37776</v>
      </c>
    </row>
    <row r="12" spans="1:56" ht="12.75">
      <c r="A12" s="95" t="s">
        <v>117</v>
      </c>
      <c r="B12" s="96">
        <v>669576</v>
      </c>
      <c r="C12" s="96">
        <v>659670</v>
      </c>
      <c r="D12" s="88">
        <v>660376</v>
      </c>
      <c r="E12" s="93">
        <v>635897</v>
      </c>
      <c r="F12" s="96">
        <v>625652</v>
      </c>
      <c r="G12" s="96">
        <v>607775</v>
      </c>
      <c r="H12" s="88">
        <v>610379</v>
      </c>
      <c r="I12" s="93">
        <v>630721</v>
      </c>
      <c r="J12" s="96">
        <v>764560</v>
      </c>
      <c r="K12" s="96">
        <v>875331</v>
      </c>
      <c r="L12" s="88">
        <v>876943</v>
      </c>
      <c r="M12" s="93">
        <v>1091774</v>
      </c>
      <c r="N12" s="96">
        <v>1032576</v>
      </c>
      <c r="O12" s="96">
        <v>1058089</v>
      </c>
      <c r="P12" s="88">
        <v>1060922</v>
      </c>
      <c r="Q12" s="93">
        <v>1101385</v>
      </c>
      <c r="R12" s="96">
        <v>1147960</v>
      </c>
      <c r="S12" s="96">
        <v>1180257</v>
      </c>
      <c r="T12" s="88">
        <v>1233870</v>
      </c>
      <c r="U12" s="93">
        <v>1344176</v>
      </c>
      <c r="V12" s="96">
        <v>1225280</v>
      </c>
      <c r="W12" s="96">
        <v>1256918</v>
      </c>
      <c r="X12" s="88">
        <v>1242907</v>
      </c>
      <c r="Y12" s="93">
        <v>1300348</v>
      </c>
      <c r="Z12" s="96">
        <v>1280870</v>
      </c>
      <c r="AA12" s="96">
        <v>1271200</v>
      </c>
      <c r="AB12" s="88">
        <v>1291602</v>
      </c>
      <c r="AC12" s="93">
        <v>1533084</v>
      </c>
      <c r="AD12" s="96">
        <v>1596107</v>
      </c>
      <c r="AE12" s="96">
        <v>1599178</v>
      </c>
      <c r="AF12" s="96">
        <v>1662163</v>
      </c>
      <c r="AG12" s="97">
        <v>2041799</v>
      </c>
      <c r="AH12" s="96">
        <v>2193900</v>
      </c>
      <c r="AI12" s="96">
        <v>2745754</v>
      </c>
      <c r="AJ12" s="96">
        <v>2793048</v>
      </c>
      <c r="AK12" s="97">
        <v>3135925</v>
      </c>
      <c r="AL12" s="291">
        <v>3073859</v>
      </c>
      <c r="AM12" s="96">
        <v>3113286</v>
      </c>
      <c r="AN12" s="96">
        <v>3265736</v>
      </c>
      <c r="AO12" s="96">
        <v>3145370</v>
      </c>
      <c r="AP12" s="96">
        <v>3148404</v>
      </c>
      <c r="AQ12" s="373">
        <v>3114180</v>
      </c>
      <c r="AR12" s="96">
        <v>3267030</v>
      </c>
      <c r="AS12" s="96">
        <v>3145370</v>
      </c>
      <c r="AT12" s="96">
        <v>3143711</v>
      </c>
      <c r="AU12" s="96">
        <v>3153234</v>
      </c>
      <c r="AV12" s="96">
        <v>3005412.2191806654</v>
      </c>
      <c r="AW12" s="96">
        <v>2948316</v>
      </c>
      <c r="AX12" s="96">
        <v>2951175</v>
      </c>
      <c r="AY12" s="96">
        <v>3168890</v>
      </c>
      <c r="AZ12" s="96">
        <v>3368280</v>
      </c>
      <c r="BA12" s="96">
        <v>3213730</v>
      </c>
      <c r="BB12" s="96">
        <v>3157004</v>
      </c>
      <c r="BC12" s="96">
        <v>3108167</v>
      </c>
      <c r="BD12" s="75">
        <v>3173131</v>
      </c>
    </row>
    <row r="13" ht="12.75">
      <c r="A13" s="102"/>
    </row>
    <row r="14" ht="12.75">
      <c r="A14" s="95" t="s">
        <v>118</v>
      </c>
    </row>
    <row r="15" spans="1:56" ht="12.75">
      <c r="A15" s="92" t="s">
        <v>119</v>
      </c>
      <c r="B15" s="88">
        <v>126603</v>
      </c>
      <c r="C15" s="88">
        <v>154053</v>
      </c>
      <c r="D15" s="88">
        <v>168603</v>
      </c>
      <c r="E15" s="93">
        <v>129966</v>
      </c>
      <c r="F15" s="88">
        <v>103124</v>
      </c>
      <c r="G15" s="88">
        <v>122299</v>
      </c>
      <c r="H15" s="88">
        <v>174411</v>
      </c>
      <c r="I15" s="93">
        <v>120325</v>
      </c>
      <c r="J15" s="88">
        <v>85217</v>
      </c>
      <c r="K15" s="88">
        <v>149734</v>
      </c>
      <c r="L15" s="88">
        <v>211266</v>
      </c>
      <c r="M15" s="93">
        <v>155926</v>
      </c>
      <c r="N15" s="88">
        <v>117883</v>
      </c>
      <c r="O15" s="88">
        <v>166925</v>
      </c>
      <c r="P15" s="88">
        <v>212655</v>
      </c>
      <c r="Q15" s="93">
        <v>172450</v>
      </c>
      <c r="R15" s="88">
        <v>174706</v>
      </c>
      <c r="S15" s="88">
        <v>204648</v>
      </c>
      <c r="T15" s="88">
        <v>304161</v>
      </c>
      <c r="U15" s="93">
        <v>264985</v>
      </c>
      <c r="V15" s="88">
        <v>252285</v>
      </c>
      <c r="W15" s="88">
        <v>228489</v>
      </c>
      <c r="X15" s="88">
        <v>219114</v>
      </c>
      <c r="Y15" s="93">
        <v>181030</v>
      </c>
      <c r="Z15" s="88">
        <v>203725</v>
      </c>
      <c r="AA15" s="88">
        <v>207568</v>
      </c>
      <c r="AB15" s="88">
        <v>249416</v>
      </c>
      <c r="AC15" s="93">
        <v>318604</v>
      </c>
      <c r="AD15" s="88">
        <v>379882</v>
      </c>
      <c r="AE15" s="88">
        <v>413774</v>
      </c>
      <c r="AF15" s="88">
        <v>342644</v>
      </c>
      <c r="AG15" s="93">
        <v>222789</v>
      </c>
      <c r="AH15" s="88">
        <v>269838</v>
      </c>
      <c r="AI15" s="88">
        <v>357152</v>
      </c>
      <c r="AJ15" s="88">
        <v>362275</v>
      </c>
      <c r="AK15" s="93">
        <v>332361</v>
      </c>
      <c r="AL15" s="101">
        <v>347624</v>
      </c>
      <c r="AM15" s="88">
        <v>433243</v>
      </c>
      <c r="AN15" s="88">
        <v>471140</v>
      </c>
      <c r="AO15" s="88">
        <v>443736</v>
      </c>
      <c r="AP15" s="88">
        <v>418031</v>
      </c>
      <c r="AQ15" s="372">
        <v>441859</v>
      </c>
      <c r="AR15" s="88">
        <v>486843</v>
      </c>
      <c r="AS15" s="88">
        <v>461578</v>
      </c>
      <c r="AT15" s="88">
        <v>418061</v>
      </c>
      <c r="AU15" s="88">
        <v>408538</v>
      </c>
      <c r="AV15" s="88">
        <v>549877.8</v>
      </c>
      <c r="AW15" s="88">
        <v>545471</v>
      </c>
      <c r="AX15" s="88">
        <v>542612</v>
      </c>
      <c r="AY15" s="88">
        <v>549893</v>
      </c>
      <c r="AZ15" s="88">
        <v>545234</v>
      </c>
      <c r="BA15" s="88">
        <v>672787</v>
      </c>
      <c r="BB15" s="88">
        <v>581622</v>
      </c>
      <c r="BC15" s="88">
        <v>596213</v>
      </c>
      <c r="BD15" s="88">
        <v>507069</v>
      </c>
    </row>
    <row r="16" spans="1:56" ht="12.75">
      <c r="A16" s="92" t="s">
        <v>442</v>
      </c>
      <c r="B16" s="88">
        <v>140251</v>
      </c>
      <c r="C16" s="88">
        <v>113374</v>
      </c>
      <c r="D16" s="88">
        <v>116503</v>
      </c>
      <c r="E16" s="93">
        <v>138168</v>
      </c>
      <c r="F16" s="88">
        <v>121772</v>
      </c>
      <c r="G16" s="88">
        <v>113740</v>
      </c>
      <c r="H16" s="88">
        <v>118009</v>
      </c>
      <c r="I16" s="93">
        <v>121459</v>
      </c>
      <c r="J16" s="88">
        <v>129009</v>
      </c>
      <c r="K16" s="88">
        <v>137021</v>
      </c>
      <c r="L16" s="88">
        <v>137430</v>
      </c>
      <c r="M16" s="93">
        <v>165057</v>
      </c>
      <c r="N16" s="88">
        <v>166869</v>
      </c>
      <c r="O16" s="88">
        <v>155640</v>
      </c>
      <c r="P16" s="88">
        <v>176751</v>
      </c>
      <c r="Q16" s="93">
        <v>218950</v>
      </c>
      <c r="R16" s="88">
        <v>214345</v>
      </c>
      <c r="S16" s="88">
        <v>203448</v>
      </c>
      <c r="T16" s="88">
        <v>223860</v>
      </c>
      <c r="U16" s="93">
        <v>289348</v>
      </c>
      <c r="V16" s="88">
        <v>256370</v>
      </c>
      <c r="W16" s="88">
        <v>268658</v>
      </c>
      <c r="X16" s="88">
        <v>262034</v>
      </c>
      <c r="Y16" s="93">
        <v>229986</v>
      </c>
      <c r="Z16" s="88">
        <v>227062</v>
      </c>
      <c r="AA16" s="88">
        <v>257346</v>
      </c>
      <c r="AB16" s="88">
        <v>272390</v>
      </c>
      <c r="AC16" s="93">
        <v>353556</v>
      </c>
      <c r="AD16" s="88">
        <v>394953</v>
      </c>
      <c r="AE16" s="88">
        <v>410313</v>
      </c>
      <c r="AF16" s="88">
        <v>407446</v>
      </c>
      <c r="AG16" s="93">
        <v>327926</v>
      </c>
      <c r="AH16" s="88">
        <v>370994</v>
      </c>
      <c r="AI16" s="88">
        <v>432940</v>
      </c>
      <c r="AJ16" s="88">
        <v>443296</v>
      </c>
      <c r="AK16" s="93">
        <v>420047</v>
      </c>
      <c r="AL16" s="101">
        <v>423659</v>
      </c>
      <c r="AM16" s="88">
        <v>442293</v>
      </c>
      <c r="AN16" s="88">
        <v>519365</v>
      </c>
      <c r="AO16" s="88">
        <v>483474</v>
      </c>
      <c r="AP16" s="88">
        <v>465181</v>
      </c>
      <c r="AQ16" s="372">
        <v>456251</v>
      </c>
      <c r="AR16" s="88">
        <v>526222</v>
      </c>
      <c r="AS16" s="88">
        <v>491909</v>
      </c>
      <c r="AT16" s="88">
        <v>463672</v>
      </c>
      <c r="AU16" s="88">
        <v>463672</v>
      </c>
      <c r="AV16" s="88">
        <v>505241</v>
      </c>
      <c r="AW16" s="88">
        <v>510901</v>
      </c>
      <c r="AX16" s="88">
        <v>510901</v>
      </c>
      <c r="AY16" s="88">
        <v>562582</v>
      </c>
      <c r="AZ16" s="88">
        <v>619723</v>
      </c>
      <c r="BA16" s="88">
        <v>617126</v>
      </c>
      <c r="BB16" s="88">
        <v>565296</v>
      </c>
      <c r="BC16" s="88">
        <v>605263</v>
      </c>
      <c r="BD16" s="88">
        <v>571995</v>
      </c>
    </row>
    <row r="17" spans="1:56" ht="12.75">
      <c r="A17" s="92" t="s">
        <v>120</v>
      </c>
      <c r="B17" s="88">
        <v>18325</v>
      </c>
      <c r="C17" s="88">
        <v>9600</v>
      </c>
      <c r="D17" s="88">
        <v>13175</v>
      </c>
      <c r="E17" s="93">
        <v>13809</v>
      </c>
      <c r="F17" s="88">
        <v>28893</v>
      </c>
      <c r="G17" s="88">
        <v>21025</v>
      </c>
      <c r="H17" s="88">
        <v>19711</v>
      </c>
      <c r="I17" s="93">
        <v>9288</v>
      </c>
      <c r="J17" s="88">
        <v>10737</v>
      </c>
      <c r="K17" s="88">
        <v>9311</v>
      </c>
      <c r="L17" s="88">
        <v>6818</v>
      </c>
      <c r="M17" s="93">
        <v>9228</v>
      </c>
      <c r="N17" s="88">
        <v>6562</v>
      </c>
      <c r="O17" s="88">
        <v>2341</v>
      </c>
      <c r="P17" s="88">
        <v>2339</v>
      </c>
      <c r="Q17" s="93">
        <v>0</v>
      </c>
      <c r="R17" s="88">
        <v>680</v>
      </c>
      <c r="S17" s="88">
        <v>361</v>
      </c>
      <c r="T17" s="88">
        <v>364</v>
      </c>
      <c r="U17" s="93">
        <v>519</v>
      </c>
      <c r="V17" s="88">
        <v>518</v>
      </c>
      <c r="W17" s="88">
        <v>0</v>
      </c>
      <c r="X17" s="88">
        <v>0</v>
      </c>
      <c r="Y17" s="93">
        <v>0</v>
      </c>
      <c r="Z17" s="88">
        <v>0</v>
      </c>
      <c r="AA17" s="88">
        <v>0</v>
      </c>
      <c r="AB17" s="88">
        <v>0</v>
      </c>
      <c r="AC17" s="93">
        <v>0</v>
      </c>
      <c r="AD17" s="88">
        <v>0</v>
      </c>
      <c r="AE17" s="88">
        <v>0</v>
      </c>
      <c r="AF17" s="88"/>
      <c r="AG17" s="93"/>
      <c r="AH17" s="88">
        <v>15896</v>
      </c>
      <c r="AI17" s="88">
        <v>72726</v>
      </c>
      <c r="AJ17" s="88"/>
      <c r="AK17" s="106"/>
      <c r="AL17" s="300">
        <v>0</v>
      </c>
      <c r="AM17" s="88">
        <v>0</v>
      </c>
      <c r="AN17" s="88">
        <v>0</v>
      </c>
      <c r="AO17" s="88"/>
      <c r="AP17" s="88">
        <v>0</v>
      </c>
      <c r="AQ17" s="372">
        <v>0</v>
      </c>
      <c r="AR17" s="88">
        <v>0</v>
      </c>
      <c r="AS17" s="88">
        <v>0</v>
      </c>
      <c r="AT17" s="88">
        <v>0</v>
      </c>
      <c r="AU17" s="88">
        <v>0</v>
      </c>
      <c r="AV17" s="88">
        <v>0</v>
      </c>
      <c r="AW17" s="88">
        <v>0</v>
      </c>
      <c r="AX17" s="88">
        <v>0</v>
      </c>
      <c r="AY17" s="88">
        <v>0</v>
      </c>
      <c r="AZ17" s="88">
        <v>0</v>
      </c>
      <c r="BA17" s="88">
        <v>0</v>
      </c>
      <c r="BB17" s="88">
        <v>0</v>
      </c>
      <c r="BC17" s="88">
        <v>0</v>
      </c>
      <c r="BD17" s="88">
        <v>29202</v>
      </c>
    </row>
    <row r="18" spans="1:56" ht="12.75">
      <c r="A18" s="92" t="s">
        <v>121</v>
      </c>
      <c r="B18" s="88">
        <v>37444</v>
      </c>
      <c r="C18" s="88">
        <v>32947</v>
      </c>
      <c r="D18" s="88">
        <v>31524</v>
      </c>
      <c r="E18" s="93">
        <v>32891</v>
      </c>
      <c r="F18" s="88">
        <v>30392</v>
      </c>
      <c r="G18" s="88">
        <v>33275</v>
      </c>
      <c r="H18" s="88">
        <v>44292</v>
      </c>
      <c r="I18" s="93">
        <v>35440</v>
      </c>
      <c r="J18" s="88">
        <v>35907</v>
      </c>
      <c r="K18" s="88">
        <v>53970</v>
      </c>
      <c r="L18" s="88">
        <v>57876</v>
      </c>
      <c r="M18" s="93">
        <v>47909</v>
      </c>
      <c r="N18" s="88">
        <v>58489</v>
      </c>
      <c r="O18" s="88">
        <v>51427</v>
      </c>
      <c r="P18" s="88">
        <v>58418</v>
      </c>
      <c r="Q18" s="93">
        <v>53969</v>
      </c>
      <c r="R18" s="88">
        <v>55373</v>
      </c>
      <c r="S18" s="88">
        <v>58463</v>
      </c>
      <c r="T18" s="88">
        <v>74323</v>
      </c>
      <c r="U18" s="93">
        <v>65637</v>
      </c>
      <c r="V18" s="88">
        <v>84124</v>
      </c>
      <c r="W18" s="88">
        <v>72524</v>
      </c>
      <c r="X18" s="88">
        <v>68688</v>
      </c>
      <c r="Y18" s="93">
        <v>44118</v>
      </c>
      <c r="Z18" s="88">
        <v>56287</v>
      </c>
      <c r="AA18" s="88">
        <v>80572</v>
      </c>
      <c r="AB18" s="88">
        <v>70242</v>
      </c>
      <c r="AC18" s="93">
        <v>82397</v>
      </c>
      <c r="AD18" s="88">
        <v>90947</v>
      </c>
      <c r="AE18" s="88">
        <v>140981</v>
      </c>
      <c r="AF18" s="88">
        <v>368693</v>
      </c>
      <c r="AG18" s="93">
        <v>81164</v>
      </c>
      <c r="AH18" s="88">
        <v>105010</v>
      </c>
      <c r="AI18" s="88">
        <v>135771</v>
      </c>
      <c r="AJ18" s="88">
        <v>132326</v>
      </c>
      <c r="AK18" s="93">
        <v>114479</v>
      </c>
      <c r="AL18" s="101">
        <v>120371</v>
      </c>
      <c r="AM18" s="88">
        <v>145996</v>
      </c>
      <c r="AN18" s="88">
        <v>122970</v>
      </c>
      <c r="AO18" s="88">
        <v>143085</v>
      </c>
      <c r="AP18" s="88">
        <v>138306</v>
      </c>
      <c r="AQ18" s="372">
        <v>153053</v>
      </c>
      <c r="AR18" s="88">
        <v>135581</v>
      </c>
      <c r="AS18" s="88">
        <v>155712</v>
      </c>
      <c r="AT18" s="88">
        <v>141508</v>
      </c>
      <c r="AU18" s="88">
        <v>141508</v>
      </c>
      <c r="AV18" s="88">
        <v>204353</v>
      </c>
      <c r="AW18" s="88">
        <v>173013</v>
      </c>
      <c r="AX18" s="88">
        <v>173013</v>
      </c>
      <c r="AY18" s="88">
        <v>159038</v>
      </c>
      <c r="AZ18" s="88">
        <v>125134</v>
      </c>
      <c r="BA18" s="88">
        <v>208735</v>
      </c>
      <c r="BB18" s="88">
        <v>201441</v>
      </c>
      <c r="BC18" s="88">
        <v>190001</v>
      </c>
      <c r="BD18" s="88">
        <v>153382</v>
      </c>
    </row>
    <row r="19" spans="1:56" ht="12.75">
      <c r="A19" s="92" t="s">
        <v>486</v>
      </c>
      <c r="B19" s="105"/>
      <c r="C19" s="105"/>
      <c r="D19" s="105"/>
      <c r="E19" s="106"/>
      <c r="F19" s="105"/>
      <c r="G19" s="105"/>
      <c r="H19" s="105"/>
      <c r="I19" s="106"/>
      <c r="J19" s="105"/>
      <c r="K19" s="105"/>
      <c r="L19" s="105"/>
      <c r="M19" s="106"/>
      <c r="N19" s="105"/>
      <c r="O19" s="105"/>
      <c r="P19" s="105"/>
      <c r="Q19" s="106"/>
      <c r="R19" s="105"/>
      <c r="S19" s="105"/>
      <c r="T19" s="105"/>
      <c r="U19" s="106"/>
      <c r="V19" s="105"/>
      <c r="W19" s="88">
        <v>3700</v>
      </c>
      <c r="X19" s="88">
        <v>4253</v>
      </c>
      <c r="Y19" s="93">
        <v>10059</v>
      </c>
      <c r="Z19" s="88">
        <v>9676</v>
      </c>
      <c r="AA19" s="88">
        <v>844</v>
      </c>
      <c r="AB19" s="88">
        <v>5338</v>
      </c>
      <c r="AC19" s="93">
        <v>3680</v>
      </c>
      <c r="AD19" s="88">
        <v>8796</v>
      </c>
      <c r="AE19" s="88">
        <v>5384</v>
      </c>
      <c r="AF19" s="88">
        <v>7645</v>
      </c>
      <c r="AG19" s="93">
        <v>34504</v>
      </c>
      <c r="AH19" s="88">
        <v>42334</v>
      </c>
      <c r="AI19" s="88">
        <v>33596</v>
      </c>
      <c r="AJ19" s="88">
        <v>33732</v>
      </c>
      <c r="AK19" s="93">
        <v>56531</v>
      </c>
      <c r="AL19" s="101">
        <v>22104</v>
      </c>
      <c r="AM19" s="88">
        <v>24067</v>
      </c>
      <c r="AN19" s="88">
        <v>6727</v>
      </c>
      <c r="AO19" s="88">
        <v>5843</v>
      </c>
      <c r="AP19" s="88">
        <v>4285</v>
      </c>
      <c r="AQ19" s="372">
        <v>24067</v>
      </c>
      <c r="AR19" s="88">
        <v>6727</v>
      </c>
      <c r="AS19" s="88">
        <v>5843</v>
      </c>
      <c r="AT19" s="88">
        <v>5611</v>
      </c>
      <c r="AU19" s="88">
        <v>5611</v>
      </c>
      <c r="AV19" s="88">
        <v>8036</v>
      </c>
      <c r="AW19" s="88">
        <v>5657</v>
      </c>
      <c r="AX19" s="88">
        <v>5657</v>
      </c>
      <c r="AY19" s="88">
        <v>13131</v>
      </c>
      <c r="AZ19" s="88">
        <v>24364</v>
      </c>
      <c r="BA19" s="88">
        <v>31490</v>
      </c>
      <c r="BB19" s="88">
        <v>13642</v>
      </c>
      <c r="BC19" s="88">
        <v>18885</v>
      </c>
      <c r="BD19" s="88">
        <v>25552</v>
      </c>
    </row>
    <row r="20" spans="1:56" ht="12.75">
      <c r="A20" s="92" t="s">
        <v>122</v>
      </c>
      <c r="B20" s="88">
        <v>56219</v>
      </c>
      <c r="C20" s="88">
        <v>54470</v>
      </c>
      <c r="D20" s="88">
        <v>44952</v>
      </c>
      <c r="E20" s="93">
        <v>57911</v>
      </c>
      <c r="F20" s="88">
        <v>39575</v>
      </c>
      <c r="G20" s="88">
        <v>41377</v>
      </c>
      <c r="H20" s="88">
        <v>27499</v>
      </c>
      <c r="I20" s="93">
        <v>42251</v>
      </c>
      <c r="J20" s="88">
        <v>22621</v>
      </c>
      <c r="K20" s="88">
        <v>41421</v>
      </c>
      <c r="L20" s="88">
        <v>44218</v>
      </c>
      <c r="M20" s="93">
        <v>62841</v>
      </c>
      <c r="N20" s="88">
        <v>52757</v>
      </c>
      <c r="O20" s="88">
        <v>72369</v>
      </c>
      <c r="P20" s="88">
        <v>58544</v>
      </c>
      <c r="Q20" s="93">
        <v>88126</v>
      </c>
      <c r="R20" s="88">
        <v>56419</v>
      </c>
      <c r="S20" s="88">
        <v>56780</v>
      </c>
      <c r="T20" s="88">
        <v>81251</v>
      </c>
      <c r="U20" s="93">
        <v>64170</v>
      </c>
      <c r="V20" s="88">
        <v>396934</v>
      </c>
      <c r="W20" s="88">
        <v>295700</v>
      </c>
      <c r="X20" s="88">
        <v>397461</v>
      </c>
      <c r="Y20" s="93">
        <v>399104</v>
      </c>
      <c r="Z20" s="88">
        <v>373096</v>
      </c>
      <c r="AA20" s="88">
        <v>175970</v>
      </c>
      <c r="AB20" s="88">
        <v>112416</v>
      </c>
      <c r="AC20" s="93">
        <v>129721</v>
      </c>
      <c r="AD20" s="88">
        <v>316210</v>
      </c>
      <c r="AE20" s="88">
        <v>282519</v>
      </c>
      <c r="AF20" s="88">
        <v>304813</v>
      </c>
      <c r="AG20" s="93">
        <v>221628</v>
      </c>
      <c r="AH20" s="88">
        <v>242537</v>
      </c>
      <c r="AI20" s="88">
        <v>532136</v>
      </c>
      <c r="AJ20" s="88">
        <v>224564</v>
      </c>
      <c r="AK20" s="93">
        <v>186926</v>
      </c>
      <c r="AL20" s="101">
        <v>178703</v>
      </c>
      <c r="AM20" s="88">
        <v>143019</v>
      </c>
      <c r="AN20" s="88">
        <v>308453</v>
      </c>
      <c r="AO20" s="88">
        <v>360911</v>
      </c>
      <c r="AP20" s="88">
        <v>313124</v>
      </c>
      <c r="AQ20" s="372">
        <v>144088</v>
      </c>
      <c r="AR20" s="88">
        <v>309939</v>
      </c>
      <c r="AS20" s="88">
        <v>362802</v>
      </c>
      <c r="AT20" s="88">
        <v>313166</v>
      </c>
      <c r="AU20" s="88">
        <v>313166</v>
      </c>
      <c r="AV20" s="88">
        <v>319345</v>
      </c>
      <c r="AW20" s="88">
        <v>365257</v>
      </c>
      <c r="AX20" s="88">
        <v>365257</v>
      </c>
      <c r="AY20" s="88">
        <v>317543</v>
      </c>
      <c r="AZ20" s="88">
        <v>311133</v>
      </c>
      <c r="BA20" s="88">
        <v>208661</v>
      </c>
      <c r="BB20" s="88">
        <v>233079</v>
      </c>
      <c r="BC20" s="88">
        <v>324473</v>
      </c>
      <c r="BD20" s="88">
        <v>318307</v>
      </c>
    </row>
    <row r="21" spans="1:56" ht="12.75">
      <c r="A21" s="92" t="s">
        <v>338</v>
      </c>
      <c r="B21" s="88"/>
      <c r="C21" s="88"/>
      <c r="D21" s="88"/>
      <c r="E21" s="93"/>
      <c r="F21" s="88"/>
      <c r="G21" s="88"/>
      <c r="H21" s="88"/>
      <c r="I21" s="93"/>
      <c r="J21" s="88"/>
      <c r="K21" s="88"/>
      <c r="L21" s="88"/>
      <c r="M21" s="93"/>
      <c r="N21" s="88"/>
      <c r="O21" s="88"/>
      <c r="P21" s="88"/>
      <c r="Q21" s="93"/>
      <c r="R21" s="88"/>
      <c r="S21" s="88"/>
      <c r="T21" s="88"/>
      <c r="U21" s="93"/>
      <c r="V21" s="88"/>
      <c r="W21" s="88"/>
      <c r="X21" s="88"/>
      <c r="Y21" s="93"/>
      <c r="Z21" s="88"/>
      <c r="AA21" s="88"/>
      <c r="AB21" s="88"/>
      <c r="AC21" s="93"/>
      <c r="AD21" s="88"/>
      <c r="AE21" s="88"/>
      <c r="AF21" s="88"/>
      <c r="AG21" s="93"/>
      <c r="AH21" s="88"/>
      <c r="AI21" s="88">
        <v>22339</v>
      </c>
      <c r="AJ21" s="88">
        <v>18158</v>
      </c>
      <c r="AK21" s="93">
        <v>30594</v>
      </c>
      <c r="AL21" s="101">
        <v>1287</v>
      </c>
      <c r="AM21" s="88">
        <v>31594</v>
      </c>
      <c r="AN21" s="88">
        <v>37951</v>
      </c>
      <c r="AO21" s="88">
        <v>40795</v>
      </c>
      <c r="AP21" s="88">
        <v>0</v>
      </c>
      <c r="AQ21" s="372">
        <v>0</v>
      </c>
      <c r="AR21" s="88">
        <v>0</v>
      </c>
      <c r="AS21" s="88">
        <v>0</v>
      </c>
      <c r="AT21" s="88">
        <v>0</v>
      </c>
      <c r="AU21" s="88">
        <v>0</v>
      </c>
      <c r="AV21" s="88">
        <v>0</v>
      </c>
      <c r="AW21" s="88">
        <v>0</v>
      </c>
      <c r="AX21" s="88">
        <v>0</v>
      </c>
      <c r="AY21" s="88">
        <v>0</v>
      </c>
      <c r="AZ21" s="88">
        <v>0</v>
      </c>
      <c r="BA21" s="88">
        <v>0</v>
      </c>
      <c r="BB21" s="88">
        <v>17991</v>
      </c>
      <c r="BC21" s="88">
        <v>11758</v>
      </c>
      <c r="BD21" s="88">
        <v>0</v>
      </c>
    </row>
    <row r="22" spans="1:56" ht="12.75">
      <c r="A22" s="95" t="s">
        <v>123</v>
      </c>
      <c r="B22" s="88">
        <v>378842</v>
      </c>
      <c r="C22" s="88">
        <v>364444</v>
      </c>
      <c r="D22" s="88">
        <v>374757</v>
      </c>
      <c r="E22" s="93">
        <v>372745</v>
      </c>
      <c r="F22" s="88">
        <v>323756</v>
      </c>
      <c r="G22" s="88">
        <v>331716</v>
      </c>
      <c r="H22" s="88">
        <v>383922</v>
      </c>
      <c r="I22" s="93">
        <v>328763</v>
      </c>
      <c r="J22" s="88">
        <v>283491</v>
      </c>
      <c r="K22" s="88">
        <v>391457</v>
      </c>
      <c r="L22" s="88">
        <v>457608</v>
      </c>
      <c r="M22" s="93">
        <v>440961</v>
      </c>
      <c r="N22" s="88">
        <v>402560</v>
      </c>
      <c r="O22" s="88">
        <v>448702</v>
      </c>
      <c r="P22" s="88">
        <v>508707</v>
      </c>
      <c r="Q22" s="93">
        <v>533495</v>
      </c>
      <c r="R22" s="88">
        <v>501523</v>
      </c>
      <c r="S22" s="88">
        <v>523700</v>
      </c>
      <c r="T22" s="88">
        <v>683959</v>
      </c>
      <c r="U22" s="93">
        <v>684659</v>
      </c>
      <c r="V22" s="88">
        <v>990231</v>
      </c>
      <c r="W22" s="88">
        <v>869071</v>
      </c>
      <c r="X22" s="88">
        <v>951550</v>
      </c>
      <c r="Y22" s="93">
        <v>864297</v>
      </c>
      <c r="Z22" s="88">
        <v>869846</v>
      </c>
      <c r="AA22" s="88">
        <v>722300</v>
      </c>
      <c r="AB22" s="88">
        <v>709802</v>
      </c>
      <c r="AC22" s="93">
        <v>887958</v>
      </c>
      <c r="AD22" s="88">
        <v>1190788</v>
      </c>
      <c r="AE22" s="88">
        <v>1252971</v>
      </c>
      <c r="AF22" s="88">
        <v>1431241</v>
      </c>
      <c r="AG22" s="93">
        <v>888011</v>
      </c>
      <c r="AH22" s="96">
        <v>1046609</v>
      </c>
      <c r="AI22" s="96">
        <v>1586660</v>
      </c>
      <c r="AJ22" s="96">
        <v>1214351</v>
      </c>
      <c r="AK22" s="97">
        <v>1140938</v>
      </c>
      <c r="AL22" s="291">
        <v>1093748</v>
      </c>
      <c r="AM22" s="96">
        <v>1220212</v>
      </c>
      <c r="AN22" s="96">
        <v>1466606</v>
      </c>
      <c r="AO22" s="96">
        <v>1477844</v>
      </c>
      <c r="AP22" s="96">
        <v>1338927</v>
      </c>
      <c r="AQ22" s="373">
        <v>1219318</v>
      </c>
      <c r="AR22" s="96">
        <v>1465312</v>
      </c>
      <c r="AS22" s="96">
        <v>1477844</v>
      </c>
      <c r="AT22" s="96">
        <v>1342018</v>
      </c>
      <c r="AU22" s="96">
        <v>1332495</v>
      </c>
      <c r="AV22" s="96">
        <v>1586852.8</v>
      </c>
      <c r="AW22" s="96">
        <v>1600299</v>
      </c>
      <c r="AX22" s="96">
        <v>1597440</v>
      </c>
      <c r="AY22" s="96">
        <v>1602187</v>
      </c>
      <c r="AZ22" s="96">
        <v>1625588</v>
      </c>
      <c r="BA22" s="96">
        <v>1738799</v>
      </c>
      <c r="BB22" s="96">
        <v>1613071</v>
      </c>
      <c r="BC22" s="96">
        <v>1746593</v>
      </c>
      <c r="BD22" s="96">
        <f>SUM(BD15:BD21)</f>
        <v>1605507</v>
      </c>
    </row>
    <row r="23" spans="1:34" ht="12.75">
      <c r="A23" s="102"/>
      <c r="AH23" s="91" t="s">
        <v>132</v>
      </c>
    </row>
    <row r="24" spans="1:56" ht="12.75">
      <c r="A24" s="95" t="s">
        <v>124</v>
      </c>
      <c r="B24" s="96">
        <v>1048418</v>
      </c>
      <c r="C24" s="96">
        <v>1024114</v>
      </c>
      <c r="D24" s="88">
        <v>1035133</v>
      </c>
      <c r="E24" s="93">
        <v>1008642</v>
      </c>
      <c r="F24" s="96">
        <v>949408</v>
      </c>
      <c r="G24" s="96">
        <v>939491</v>
      </c>
      <c r="H24" s="88">
        <v>994301</v>
      </c>
      <c r="I24" s="93">
        <v>959484</v>
      </c>
      <c r="J24" s="96">
        <v>1048051</v>
      </c>
      <c r="K24" s="96">
        <v>1266788</v>
      </c>
      <c r="L24" s="88">
        <v>1334551</v>
      </c>
      <c r="M24" s="93">
        <v>1532735</v>
      </c>
      <c r="N24" s="96">
        <v>1435136</v>
      </c>
      <c r="O24" s="96">
        <v>1506791</v>
      </c>
      <c r="P24" s="88">
        <v>1569629</v>
      </c>
      <c r="Q24" s="93">
        <v>1634880</v>
      </c>
      <c r="R24" s="96">
        <v>1649483</v>
      </c>
      <c r="S24" s="96">
        <v>1703957</v>
      </c>
      <c r="T24" s="88">
        <v>1917829</v>
      </c>
      <c r="U24" s="93">
        <v>2028835</v>
      </c>
      <c r="V24" s="96">
        <v>2215511</v>
      </c>
      <c r="W24" s="96">
        <v>2125989</v>
      </c>
      <c r="X24" s="88">
        <v>2194457</v>
      </c>
      <c r="Y24" s="93">
        <v>2164645</v>
      </c>
      <c r="Z24" s="96">
        <v>2150716</v>
      </c>
      <c r="AA24" s="96">
        <v>1993500</v>
      </c>
      <c r="AB24" s="88">
        <v>2001404</v>
      </c>
      <c r="AC24" s="93">
        <v>2421042</v>
      </c>
      <c r="AD24" s="96">
        <v>2786895</v>
      </c>
      <c r="AE24" s="96">
        <v>2852149</v>
      </c>
      <c r="AF24" s="96">
        <v>3093404</v>
      </c>
      <c r="AG24" s="97">
        <v>2929810</v>
      </c>
      <c r="AH24" s="96">
        <v>3240509</v>
      </c>
      <c r="AI24" s="96">
        <v>4332414</v>
      </c>
      <c r="AJ24" s="96">
        <v>4007399</v>
      </c>
      <c r="AK24" s="97">
        <v>4276863</v>
      </c>
      <c r="AL24" s="291">
        <v>4167607</v>
      </c>
      <c r="AM24" s="96">
        <v>4333498</v>
      </c>
      <c r="AN24" s="96">
        <v>4732342</v>
      </c>
      <c r="AO24" s="96">
        <v>4623214</v>
      </c>
      <c r="AP24" s="96">
        <v>4487331</v>
      </c>
      <c r="AQ24" s="373">
        <v>4333498</v>
      </c>
      <c r="AR24" s="96">
        <v>4732342</v>
      </c>
      <c r="AS24" s="96">
        <v>4623214</v>
      </c>
      <c r="AT24" s="96">
        <v>4485729</v>
      </c>
      <c r="AU24" s="96">
        <v>4485729</v>
      </c>
      <c r="AV24" s="96">
        <v>4592265</v>
      </c>
      <c r="AW24" s="96">
        <v>4548615</v>
      </c>
      <c r="AX24" s="96">
        <v>4548615</v>
      </c>
      <c r="AY24" s="96">
        <v>4771077</v>
      </c>
      <c r="AZ24" s="96">
        <v>4993868</v>
      </c>
      <c r="BA24" s="96">
        <v>4952529</v>
      </c>
      <c r="BB24" s="96">
        <v>4770075</v>
      </c>
      <c r="BC24" s="96">
        <v>4854760</v>
      </c>
      <c r="BD24" s="96">
        <f>BD12+BD22</f>
        <v>4778638</v>
      </c>
    </row>
    <row r="25" ht="12.75">
      <c r="A25" s="102"/>
    </row>
    <row r="26" ht="12.75">
      <c r="A26" s="95" t="s">
        <v>125</v>
      </c>
    </row>
    <row r="27" ht="12.75">
      <c r="A27" s="95" t="s">
        <v>126</v>
      </c>
    </row>
    <row r="28" spans="1:56" ht="12.75">
      <c r="A28" s="92" t="s">
        <v>144</v>
      </c>
      <c r="B28" s="88">
        <v>97759</v>
      </c>
      <c r="C28" s="88">
        <v>97799</v>
      </c>
      <c r="D28" s="88">
        <v>97802</v>
      </c>
      <c r="E28" s="93">
        <v>97818</v>
      </c>
      <c r="F28" s="88">
        <v>97872</v>
      </c>
      <c r="G28" s="88">
        <v>97935</v>
      </c>
      <c r="H28" s="88">
        <v>95667</v>
      </c>
      <c r="I28" s="93">
        <v>93245</v>
      </c>
      <c r="J28" s="88">
        <v>93245</v>
      </c>
      <c r="K28" s="88">
        <v>93260</v>
      </c>
      <c r="L28" s="88">
        <v>93100</v>
      </c>
      <c r="M28" s="93">
        <v>93128</v>
      </c>
      <c r="N28" s="88">
        <v>91325</v>
      </c>
      <c r="O28" s="88">
        <v>94238</v>
      </c>
      <c r="P28" s="88">
        <v>94243</v>
      </c>
      <c r="Q28" s="93">
        <v>94634</v>
      </c>
      <c r="R28" s="88">
        <v>94466</v>
      </c>
      <c r="S28" s="88">
        <v>93315</v>
      </c>
      <c r="T28" s="88">
        <v>94009</v>
      </c>
      <c r="U28" s="93">
        <v>94020</v>
      </c>
      <c r="V28" s="88">
        <v>94020</v>
      </c>
      <c r="W28" s="88">
        <v>83122</v>
      </c>
      <c r="X28" s="88">
        <v>83467</v>
      </c>
      <c r="Y28" s="93">
        <v>83467</v>
      </c>
      <c r="Z28" s="88">
        <v>83467</v>
      </c>
      <c r="AA28" s="88">
        <v>77277</v>
      </c>
      <c r="AB28" s="88">
        <v>65950</v>
      </c>
      <c r="AC28" s="93">
        <v>65950</v>
      </c>
      <c r="AD28" s="88">
        <v>64825</v>
      </c>
      <c r="AE28" s="88">
        <v>72485</v>
      </c>
      <c r="AF28" s="88">
        <v>72485</v>
      </c>
      <c r="AG28" s="93">
        <v>72812</v>
      </c>
      <c r="AH28" s="88">
        <v>72812</v>
      </c>
      <c r="AI28" s="88">
        <v>79083</v>
      </c>
      <c r="AJ28" s="88">
        <v>79202</v>
      </c>
      <c r="AK28" s="93">
        <v>79202</v>
      </c>
      <c r="AL28" s="101">
        <v>79202</v>
      </c>
      <c r="AM28" s="88">
        <v>79202</v>
      </c>
      <c r="AN28" s="88">
        <v>79202</v>
      </c>
      <c r="AO28" s="88">
        <v>79202</v>
      </c>
      <c r="AP28" s="88">
        <v>79202</v>
      </c>
      <c r="AQ28" s="372">
        <v>79202</v>
      </c>
      <c r="AR28" s="88">
        <v>79202</v>
      </c>
      <c r="AS28" s="88">
        <v>79202</v>
      </c>
      <c r="AT28" s="88">
        <v>79202</v>
      </c>
      <c r="AU28" s="88">
        <v>79202</v>
      </c>
      <c r="AV28" s="88">
        <v>79202</v>
      </c>
      <c r="AW28" s="88">
        <v>79202</v>
      </c>
      <c r="AX28" s="88">
        <v>79202</v>
      </c>
      <c r="AY28" s="88">
        <v>79202</v>
      </c>
      <c r="AZ28" s="88">
        <v>79202</v>
      </c>
      <c r="BA28" s="88">
        <v>79202</v>
      </c>
      <c r="BB28" s="88">
        <v>79202</v>
      </c>
      <c r="BC28" s="88">
        <v>79202</v>
      </c>
      <c r="BD28" s="73">
        <v>79202</v>
      </c>
    </row>
    <row r="29" spans="1:56" ht="12.75">
      <c r="A29" s="92" t="s">
        <v>127</v>
      </c>
      <c r="B29" s="88">
        <v>274935</v>
      </c>
      <c r="C29" s="88">
        <v>274556</v>
      </c>
      <c r="D29" s="88">
        <v>274579</v>
      </c>
      <c r="E29" s="93">
        <v>268022</v>
      </c>
      <c r="F29" s="88">
        <v>265475</v>
      </c>
      <c r="G29" s="88">
        <v>261370</v>
      </c>
      <c r="H29" s="88">
        <v>256761</v>
      </c>
      <c r="I29" s="93">
        <v>246934</v>
      </c>
      <c r="J29" s="88">
        <v>314098</v>
      </c>
      <c r="K29" s="88">
        <v>332002</v>
      </c>
      <c r="L29" s="88">
        <v>321676</v>
      </c>
      <c r="M29" s="93">
        <v>330760</v>
      </c>
      <c r="N29" s="88">
        <v>425222</v>
      </c>
      <c r="O29" s="88">
        <v>439662</v>
      </c>
      <c r="P29" s="88">
        <v>422299</v>
      </c>
      <c r="Q29" s="93">
        <v>430966</v>
      </c>
      <c r="R29" s="88">
        <v>671878</v>
      </c>
      <c r="S29" s="88">
        <v>640030</v>
      </c>
      <c r="T29" s="88">
        <v>642282</v>
      </c>
      <c r="U29" s="93">
        <v>644340</v>
      </c>
      <c r="V29" s="88">
        <v>921565</v>
      </c>
      <c r="W29" s="88">
        <v>693374</v>
      </c>
      <c r="X29" s="88">
        <v>684560</v>
      </c>
      <c r="Y29" s="93">
        <v>666716</v>
      </c>
      <c r="Z29" s="88">
        <v>996207</v>
      </c>
      <c r="AA29" s="88">
        <v>770704</v>
      </c>
      <c r="AB29" s="88">
        <v>466635</v>
      </c>
      <c r="AC29" s="93">
        <v>468418</v>
      </c>
      <c r="AD29" s="88">
        <v>731757</v>
      </c>
      <c r="AE29" s="88">
        <v>786884</v>
      </c>
      <c r="AF29" s="88">
        <v>805907</v>
      </c>
      <c r="AG29" s="93">
        <v>899420</v>
      </c>
      <c r="AH29" s="88">
        <v>1210931</v>
      </c>
      <c r="AI29" s="88">
        <v>1128378</v>
      </c>
      <c r="AJ29" s="88">
        <v>1109687</v>
      </c>
      <c r="AK29" s="93">
        <v>1121775</v>
      </c>
      <c r="AL29" s="101">
        <v>1119745</v>
      </c>
      <c r="AM29" s="88">
        <v>1232864</v>
      </c>
      <c r="AN29" s="88">
        <v>1306286</v>
      </c>
      <c r="AO29" s="88">
        <v>1244394</v>
      </c>
      <c r="AP29" s="88">
        <v>1252970</v>
      </c>
      <c r="AQ29" s="372">
        <v>1232864</v>
      </c>
      <c r="AR29" s="88">
        <v>1306286</v>
      </c>
      <c r="AS29" s="88">
        <v>1244394</v>
      </c>
      <c r="AT29" s="88">
        <v>1251910</v>
      </c>
      <c r="AU29" s="88">
        <v>1251910</v>
      </c>
      <c r="AV29" s="88">
        <v>1295536.3658599998</v>
      </c>
      <c r="AW29" s="88">
        <v>1270049.28612</v>
      </c>
      <c r="AX29" s="88">
        <v>1270049</v>
      </c>
      <c r="AY29" s="88">
        <v>1338934.81764</v>
      </c>
      <c r="AZ29" s="88">
        <v>1419007</v>
      </c>
      <c r="BA29" s="88">
        <v>1528340</v>
      </c>
      <c r="BB29" s="88">
        <v>1465088</v>
      </c>
      <c r="BC29" s="88">
        <v>1447991</v>
      </c>
      <c r="BD29" s="73">
        <v>1470092</v>
      </c>
    </row>
    <row r="30" spans="1:56" ht="12.75">
      <c r="A30" s="92" t="s">
        <v>128</v>
      </c>
      <c r="B30" s="88">
        <v>-12122</v>
      </c>
      <c r="C30" s="88">
        <v>-4684</v>
      </c>
      <c r="D30" s="88">
        <v>-14287</v>
      </c>
      <c r="E30" s="93">
        <v>1241</v>
      </c>
      <c r="F30" s="88">
        <v>10199</v>
      </c>
      <c r="G30" s="88">
        <v>39603</v>
      </c>
      <c r="H30" s="88">
        <v>55211</v>
      </c>
      <c r="I30" s="93">
        <v>65262</v>
      </c>
      <c r="J30" s="88">
        <v>22679</v>
      </c>
      <c r="K30" s="88">
        <v>11760</v>
      </c>
      <c r="L30" s="88">
        <v>42538</v>
      </c>
      <c r="M30" s="93">
        <v>99981</v>
      </c>
      <c r="N30" s="88">
        <v>51747</v>
      </c>
      <c r="O30" s="88">
        <v>80965</v>
      </c>
      <c r="P30" s="88">
        <v>155027</v>
      </c>
      <c r="Q30" s="93">
        <v>208570</v>
      </c>
      <c r="R30" s="88">
        <v>71887</v>
      </c>
      <c r="S30" s="88">
        <v>136137</v>
      </c>
      <c r="T30" s="88">
        <v>192577</v>
      </c>
      <c r="U30" s="93">
        <v>244919</v>
      </c>
      <c r="V30" s="88">
        <v>122255</v>
      </c>
      <c r="W30" s="88">
        <v>211853</v>
      </c>
      <c r="X30" s="88">
        <v>306894</v>
      </c>
      <c r="Y30" s="93">
        <v>329483</v>
      </c>
      <c r="Z30" s="88">
        <v>59467</v>
      </c>
      <c r="AA30" s="88">
        <v>86397</v>
      </c>
      <c r="AB30" s="88">
        <v>159846</v>
      </c>
      <c r="AC30" s="93">
        <v>257796</v>
      </c>
      <c r="AD30" s="88">
        <v>65010</v>
      </c>
      <c r="AE30" s="88">
        <v>179684</v>
      </c>
      <c r="AF30" s="88">
        <v>174780</v>
      </c>
      <c r="AG30" s="93">
        <v>141471</v>
      </c>
      <c r="AH30" s="88">
        <v>-114815</v>
      </c>
      <c r="AI30" s="88">
        <v>63664</v>
      </c>
      <c r="AJ30" s="88">
        <v>76597</v>
      </c>
      <c r="AK30" s="93">
        <v>103909</v>
      </c>
      <c r="AL30" s="101">
        <v>95058</v>
      </c>
      <c r="AM30" s="88">
        <v>19011</v>
      </c>
      <c r="AN30" s="88">
        <v>-24215</v>
      </c>
      <c r="AO30" s="88">
        <v>67856</v>
      </c>
      <c r="AP30" s="88">
        <v>100823</v>
      </c>
      <c r="AQ30" s="372">
        <v>19011</v>
      </c>
      <c r="AR30" s="88">
        <v>-24215</v>
      </c>
      <c r="AS30" s="88">
        <v>67856</v>
      </c>
      <c r="AT30" s="88">
        <v>103958</v>
      </c>
      <c r="AU30" s="88">
        <v>103958</v>
      </c>
      <c r="AV30" s="88">
        <v>92663</v>
      </c>
      <c r="AW30" s="88">
        <v>146631.11775999996</v>
      </c>
      <c r="AX30" s="88">
        <v>146631</v>
      </c>
      <c r="AY30" s="88">
        <v>183038.95624</v>
      </c>
      <c r="AZ30" s="88">
        <v>153907</v>
      </c>
      <c r="BA30" s="88">
        <v>73690</v>
      </c>
      <c r="BB30" s="88">
        <v>74366</v>
      </c>
      <c r="BC30" s="88">
        <v>141912</v>
      </c>
      <c r="BD30" s="73">
        <v>149651</v>
      </c>
    </row>
    <row r="31" spans="1:56" ht="12.75">
      <c r="A31" s="95" t="s">
        <v>129</v>
      </c>
      <c r="B31" s="96">
        <v>360572</v>
      </c>
      <c r="C31" s="96">
        <v>367671</v>
      </c>
      <c r="D31" s="88">
        <v>358094</v>
      </c>
      <c r="E31" s="93">
        <v>367081</v>
      </c>
      <c r="F31" s="96">
        <v>373546</v>
      </c>
      <c r="G31" s="96">
        <v>398908</v>
      </c>
      <c r="H31" s="88">
        <v>407639</v>
      </c>
      <c r="I31" s="93">
        <v>405441</v>
      </c>
      <c r="J31" s="96">
        <v>430022</v>
      </c>
      <c r="K31" s="96">
        <v>437022</v>
      </c>
      <c r="L31" s="88">
        <v>457314</v>
      </c>
      <c r="M31" s="93">
        <v>523869</v>
      </c>
      <c r="N31" s="96">
        <v>568294</v>
      </c>
      <c r="O31" s="96">
        <v>614865</v>
      </c>
      <c r="P31" s="88">
        <v>671569</v>
      </c>
      <c r="Q31" s="93">
        <v>734170</v>
      </c>
      <c r="R31" s="96">
        <v>838231</v>
      </c>
      <c r="S31" s="96">
        <v>869482</v>
      </c>
      <c r="T31" s="88">
        <v>928868</v>
      </c>
      <c r="U31" s="93">
        <v>983279</v>
      </c>
      <c r="V31" s="96">
        <v>1137840</v>
      </c>
      <c r="W31" s="96">
        <f>SUM(W28:W30)</f>
        <v>988349</v>
      </c>
      <c r="X31" s="88">
        <v>1074921</v>
      </c>
      <c r="Y31" s="93">
        <v>1079666</v>
      </c>
      <c r="Z31" s="96">
        <v>1139141</v>
      </c>
      <c r="AA31" s="96">
        <v>934378</v>
      </c>
      <c r="AB31" s="88">
        <v>692431</v>
      </c>
      <c r="AC31" s="93">
        <v>792164</v>
      </c>
      <c r="AD31" s="96">
        <v>861592</v>
      </c>
      <c r="AE31" s="96">
        <v>1039053</v>
      </c>
      <c r="AF31" s="96">
        <v>1053172</v>
      </c>
      <c r="AG31" s="97">
        <v>1113703</v>
      </c>
      <c r="AH31" s="96">
        <v>1168928</v>
      </c>
      <c r="AI31" s="96">
        <v>1271125</v>
      </c>
      <c r="AJ31" s="96">
        <v>1265486</v>
      </c>
      <c r="AK31" s="93">
        <v>1304886</v>
      </c>
      <c r="AL31" s="101">
        <v>1294005</v>
      </c>
      <c r="AM31" s="96">
        <v>1331077</v>
      </c>
      <c r="AN31" s="96">
        <v>1361273</v>
      </c>
      <c r="AO31" s="96">
        <v>1391452</v>
      </c>
      <c r="AP31" s="96">
        <v>1432995</v>
      </c>
      <c r="AQ31" s="373">
        <v>1331077</v>
      </c>
      <c r="AR31" s="96">
        <v>1361273</v>
      </c>
      <c r="AS31" s="96">
        <v>1391452</v>
      </c>
      <c r="AT31" s="96">
        <v>1435070</v>
      </c>
      <c r="AU31" s="96">
        <v>1435070</v>
      </c>
      <c r="AV31" s="96">
        <v>1467401.3658599998</v>
      </c>
      <c r="AW31" s="96">
        <v>1495882.40388</v>
      </c>
      <c r="AX31" s="96">
        <v>1495882</v>
      </c>
      <c r="AY31" s="96">
        <v>1601175.77388</v>
      </c>
      <c r="AZ31" s="96">
        <v>1652116</v>
      </c>
      <c r="BA31" s="96">
        <v>1681232</v>
      </c>
      <c r="BB31" s="96">
        <v>1618656</v>
      </c>
      <c r="BC31" s="96">
        <v>1669105</v>
      </c>
      <c r="BD31" s="75">
        <v>1698945</v>
      </c>
    </row>
    <row r="32" spans="1:56" ht="12.75">
      <c r="A32" s="92" t="s">
        <v>130</v>
      </c>
      <c r="B32" s="88">
        <v>83855</v>
      </c>
      <c r="C32" s="88">
        <v>74328</v>
      </c>
      <c r="D32" s="88">
        <v>75195</v>
      </c>
      <c r="E32" s="93">
        <v>74063</v>
      </c>
      <c r="F32" s="88">
        <v>74267</v>
      </c>
      <c r="G32" s="88">
        <v>73836</v>
      </c>
      <c r="H32" s="88">
        <v>74508</v>
      </c>
      <c r="I32" s="93">
        <v>68714</v>
      </c>
      <c r="J32" s="88">
        <v>67936</v>
      </c>
      <c r="K32" s="88">
        <v>153808</v>
      </c>
      <c r="L32" s="88">
        <v>150741</v>
      </c>
      <c r="M32" s="93">
        <v>155752</v>
      </c>
      <c r="N32" s="88">
        <v>65833</v>
      </c>
      <c r="O32" s="88">
        <v>65915</v>
      </c>
      <c r="P32" s="88">
        <v>66884</v>
      </c>
      <c r="Q32" s="93">
        <v>67955</v>
      </c>
      <c r="R32" s="88">
        <v>70475</v>
      </c>
      <c r="S32" s="88">
        <v>73219</v>
      </c>
      <c r="T32" s="88">
        <v>68894</v>
      </c>
      <c r="U32" s="93">
        <v>70359</v>
      </c>
      <c r="V32" s="88">
        <v>191047</v>
      </c>
      <c r="W32" s="88">
        <v>185362</v>
      </c>
      <c r="X32" s="88">
        <v>185894</v>
      </c>
      <c r="Y32" s="93">
        <v>191537</v>
      </c>
      <c r="Z32" s="88">
        <v>128819</v>
      </c>
      <c r="AA32" s="88">
        <v>123819</v>
      </c>
      <c r="AB32" s="88">
        <v>122919</v>
      </c>
      <c r="AC32" s="93">
        <v>124902</v>
      </c>
      <c r="AD32" s="88">
        <v>123685</v>
      </c>
      <c r="AE32" s="88">
        <v>117565</v>
      </c>
      <c r="AF32" s="88">
        <v>116050</v>
      </c>
      <c r="AG32" s="93">
        <v>118205</v>
      </c>
      <c r="AH32" s="88">
        <v>116862</v>
      </c>
      <c r="AI32" s="88">
        <v>396354</v>
      </c>
      <c r="AJ32" s="88">
        <v>390361</v>
      </c>
      <c r="AK32" s="93">
        <v>558416</v>
      </c>
      <c r="AL32" s="101">
        <v>535647</v>
      </c>
      <c r="AM32" s="88">
        <v>544315</v>
      </c>
      <c r="AN32" s="88">
        <v>545723</v>
      </c>
      <c r="AO32" s="88">
        <v>539463</v>
      </c>
      <c r="AP32" s="88">
        <v>540942</v>
      </c>
      <c r="AQ32" s="372">
        <v>544315</v>
      </c>
      <c r="AR32" s="88">
        <v>545723</v>
      </c>
      <c r="AS32" s="88">
        <v>539463</v>
      </c>
      <c r="AT32" s="88">
        <v>539407</v>
      </c>
      <c r="AU32" s="88">
        <v>539407</v>
      </c>
      <c r="AV32" s="88">
        <v>533342.63414</v>
      </c>
      <c r="AW32" s="88">
        <v>508270.59611999994</v>
      </c>
      <c r="AX32" s="88">
        <v>508271</v>
      </c>
      <c r="AY32" s="88">
        <v>555276.22612</v>
      </c>
      <c r="AZ32" s="88">
        <v>591203</v>
      </c>
      <c r="BA32" s="88">
        <v>565257</v>
      </c>
      <c r="BB32" s="88">
        <v>553162</v>
      </c>
      <c r="BC32" s="88">
        <v>551364</v>
      </c>
      <c r="BD32" s="73">
        <v>547666</v>
      </c>
    </row>
    <row r="33" spans="1:56" ht="12.75">
      <c r="A33" s="95" t="s">
        <v>131</v>
      </c>
      <c r="B33" s="96">
        <v>444427</v>
      </c>
      <c r="C33" s="96">
        <v>441999</v>
      </c>
      <c r="D33" s="88">
        <v>433289</v>
      </c>
      <c r="E33" s="93">
        <v>441144</v>
      </c>
      <c r="F33" s="96">
        <v>447813</v>
      </c>
      <c r="G33" s="96">
        <v>472744</v>
      </c>
      <c r="H33" s="88">
        <v>482147</v>
      </c>
      <c r="I33" s="93">
        <v>474155</v>
      </c>
      <c r="J33" s="96">
        <v>497958</v>
      </c>
      <c r="K33" s="96">
        <v>590830</v>
      </c>
      <c r="L33" s="88">
        <v>608055</v>
      </c>
      <c r="M33" s="93">
        <v>679621</v>
      </c>
      <c r="N33" s="96">
        <v>634127</v>
      </c>
      <c r="O33" s="96">
        <v>680780</v>
      </c>
      <c r="P33" s="88">
        <v>738453</v>
      </c>
      <c r="Q33" s="93">
        <v>802125</v>
      </c>
      <c r="R33" s="96">
        <v>908706</v>
      </c>
      <c r="S33" s="96">
        <v>942701</v>
      </c>
      <c r="T33" s="88">
        <v>997762</v>
      </c>
      <c r="U33" s="93">
        <v>1053638</v>
      </c>
      <c r="V33" s="96">
        <v>1328887</v>
      </c>
      <c r="W33" s="96">
        <v>1173711</v>
      </c>
      <c r="X33" s="88">
        <v>1260815</v>
      </c>
      <c r="Y33" s="93">
        <v>1271203</v>
      </c>
      <c r="Z33" s="96">
        <v>1267960</v>
      </c>
      <c r="AA33" s="96">
        <v>1058197</v>
      </c>
      <c r="AB33" s="88">
        <v>815350</v>
      </c>
      <c r="AC33" s="93">
        <v>917066</v>
      </c>
      <c r="AD33" s="96">
        <v>985277</v>
      </c>
      <c r="AE33" s="96">
        <v>1156618</v>
      </c>
      <c r="AF33" s="96">
        <v>1169222</v>
      </c>
      <c r="AG33" s="97">
        <v>1231908</v>
      </c>
      <c r="AH33" s="96">
        <v>1285790</v>
      </c>
      <c r="AI33" s="96">
        <v>1667479</v>
      </c>
      <c r="AJ33" s="96">
        <v>1655847</v>
      </c>
      <c r="AK33" s="97">
        <v>1863302</v>
      </c>
      <c r="AL33" s="291">
        <v>1829652</v>
      </c>
      <c r="AM33" s="96">
        <v>1875392</v>
      </c>
      <c r="AN33" s="96">
        <v>1906996</v>
      </c>
      <c r="AO33" s="96">
        <v>1930915</v>
      </c>
      <c r="AP33" s="96">
        <v>1973937</v>
      </c>
      <c r="AQ33" s="373">
        <v>1875392</v>
      </c>
      <c r="AR33" s="96">
        <v>1906996</v>
      </c>
      <c r="AS33" s="96">
        <v>1930915</v>
      </c>
      <c r="AT33" s="96">
        <v>1974477</v>
      </c>
      <c r="AU33" s="96">
        <v>1974477</v>
      </c>
      <c r="AV33" s="96">
        <v>2000744</v>
      </c>
      <c r="AW33" s="96">
        <v>2004153</v>
      </c>
      <c r="AX33" s="96">
        <v>2004153</v>
      </c>
      <c r="AY33" s="96">
        <v>2156452</v>
      </c>
      <c r="AZ33" s="96">
        <v>2243319</v>
      </c>
      <c r="BA33" s="96">
        <v>2246489</v>
      </c>
      <c r="BB33" s="96">
        <v>2171818</v>
      </c>
      <c r="BC33" s="96">
        <v>2220469</v>
      </c>
      <c r="BD33" s="75">
        <v>2246611</v>
      </c>
    </row>
    <row r="34" ht="12.75">
      <c r="A34" s="98" t="s">
        <v>132</v>
      </c>
    </row>
    <row r="35" ht="12.75">
      <c r="A35" s="95" t="s">
        <v>133</v>
      </c>
    </row>
    <row r="36" spans="1:56" ht="12.75">
      <c r="A36" s="95" t="s">
        <v>443</v>
      </c>
      <c r="B36" s="88">
        <v>316658</v>
      </c>
      <c r="C36" s="88">
        <v>281089</v>
      </c>
      <c r="D36" s="88">
        <v>271548</v>
      </c>
      <c r="E36" s="93">
        <v>225597</v>
      </c>
      <c r="F36" s="88">
        <v>170844</v>
      </c>
      <c r="G36" s="88">
        <v>147700</v>
      </c>
      <c r="H36" s="88">
        <v>189844</v>
      </c>
      <c r="I36" s="93">
        <v>144746</v>
      </c>
      <c r="J36" s="88">
        <v>154244</v>
      </c>
      <c r="K36" s="88">
        <v>172114</v>
      </c>
      <c r="L36" s="88">
        <v>189628</v>
      </c>
      <c r="M36" s="93">
        <v>289070</v>
      </c>
      <c r="N36" s="88">
        <v>218916</v>
      </c>
      <c r="O36" s="88">
        <v>209990</v>
      </c>
      <c r="P36" s="88">
        <v>235896</v>
      </c>
      <c r="Q36" s="93">
        <v>199893</v>
      </c>
      <c r="R36" s="88">
        <v>147373</v>
      </c>
      <c r="S36" s="88">
        <v>246405</v>
      </c>
      <c r="T36" s="88">
        <v>151214</v>
      </c>
      <c r="U36" s="93">
        <v>296844</v>
      </c>
      <c r="V36" s="88">
        <v>233171</v>
      </c>
      <c r="W36" s="88">
        <v>249135</v>
      </c>
      <c r="X36" s="88">
        <v>231024</v>
      </c>
      <c r="Y36" s="93">
        <v>208279</v>
      </c>
      <c r="Z36" s="88">
        <v>206352</v>
      </c>
      <c r="AA36" s="88">
        <v>206818</v>
      </c>
      <c r="AB36" s="88">
        <v>382792</v>
      </c>
      <c r="AC36" s="93">
        <v>526992</v>
      </c>
      <c r="AD36" s="88">
        <v>844208</v>
      </c>
      <c r="AE36" s="88">
        <v>585729</v>
      </c>
      <c r="AF36" s="88">
        <v>963805</v>
      </c>
      <c r="AG36" s="93">
        <v>730470</v>
      </c>
      <c r="AH36" s="88">
        <v>999731</v>
      </c>
      <c r="AI36" s="88">
        <v>1281490</v>
      </c>
      <c r="AJ36" s="88">
        <v>863522</v>
      </c>
      <c r="AK36" s="93">
        <v>829446</v>
      </c>
      <c r="AL36" s="101">
        <v>829111</v>
      </c>
      <c r="AM36" s="88">
        <v>828570</v>
      </c>
      <c r="AN36" s="88">
        <v>1028526</v>
      </c>
      <c r="AO36" s="88">
        <v>968396</v>
      </c>
      <c r="AP36" s="88">
        <v>947293</v>
      </c>
      <c r="AQ36" s="372">
        <v>829235</v>
      </c>
      <c r="AR36" s="88">
        <v>1029245</v>
      </c>
      <c r="AS36" s="88">
        <v>968396</v>
      </c>
      <c r="AT36" s="88">
        <v>947910</v>
      </c>
      <c r="AU36" s="88">
        <v>947910</v>
      </c>
      <c r="AV36" s="88">
        <v>872570</v>
      </c>
      <c r="AW36" s="88">
        <v>752837</v>
      </c>
      <c r="AX36" s="88">
        <v>752837</v>
      </c>
      <c r="AY36" s="88">
        <v>783171</v>
      </c>
      <c r="AZ36" s="88">
        <v>862149</v>
      </c>
      <c r="BA36" s="88">
        <v>807644</v>
      </c>
      <c r="BB36" s="88">
        <v>571092</v>
      </c>
      <c r="BC36" s="88">
        <v>662683</v>
      </c>
      <c r="BD36" s="73">
        <v>683097</v>
      </c>
    </row>
    <row r="37" spans="1:56" ht="12.75">
      <c r="A37" s="92" t="s">
        <v>134</v>
      </c>
      <c r="B37" s="88">
        <v>40949</v>
      </c>
      <c r="C37" s="88">
        <v>40992</v>
      </c>
      <c r="D37" s="88">
        <v>40948</v>
      </c>
      <c r="E37" s="93">
        <v>40000</v>
      </c>
      <c r="F37" s="88">
        <v>39978</v>
      </c>
      <c r="G37" s="88">
        <v>39682</v>
      </c>
      <c r="H37" s="88">
        <v>39586</v>
      </c>
      <c r="I37" s="93">
        <v>49432</v>
      </c>
      <c r="J37" s="88">
        <v>51506</v>
      </c>
      <c r="K37" s="88">
        <v>49439</v>
      </c>
      <c r="L37" s="88">
        <v>56831</v>
      </c>
      <c r="M37" s="93">
        <v>55781</v>
      </c>
      <c r="N37" s="88">
        <v>52458</v>
      </c>
      <c r="O37" s="88">
        <v>50504</v>
      </c>
      <c r="P37" s="88">
        <v>50099</v>
      </c>
      <c r="Q37" s="93">
        <v>53647</v>
      </c>
      <c r="R37" s="88">
        <v>54443</v>
      </c>
      <c r="S37" s="88">
        <v>59270</v>
      </c>
      <c r="T37" s="88">
        <v>112579</v>
      </c>
      <c r="U37" s="93">
        <v>108045</v>
      </c>
      <c r="V37" s="88">
        <v>104409</v>
      </c>
      <c r="W37" s="88">
        <v>111795</v>
      </c>
      <c r="X37" s="88">
        <v>112374</v>
      </c>
      <c r="Y37" s="93">
        <v>112646</v>
      </c>
      <c r="Z37" s="88">
        <v>114965</v>
      </c>
      <c r="AA37" s="88">
        <v>102195</v>
      </c>
      <c r="AB37" s="88">
        <v>112054</v>
      </c>
      <c r="AC37" s="93">
        <v>114222</v>
      </c>
      <c r="AD37" s="88">
        <v>115691</v>
      </c>
      <c r="AE37" s="88">
        <v>122834</v>
      </c>
      <c r="AF37" s="88">
        <v>128638</v>
      </c>
      <c r="AG37" s="93">
        <v>147462</v>
      </c>
      <c r="AH37" s="88">
        <v>152353</v>
      </c>
      <c r="AI37" s="88">
        <v>209449</v>
      </c>
      <c r="AJ37" s="88">
        <v>253866</v>
      </c>
      <c r="AK37" s="93">
        <v>285593</v>
      </c>
      <c r="AL37" s="101">
        <v>282714</v>
      </c>
      <c r="AM37" s="88">
        <v>287856</v>
      </c>
      <c r="AN37" s="88">
        <v>292589</v>
      </c>
      <c r="AO37" s="88">
        <v>280827</v>
      </c>
      <c r="AP37" s="88">
        <v>279014</v>
      </c>
      <c r="AQ37" s="372">
        <v>287890</v>
      </c>
      <c r="AR37" s="88">
        <v>292624</v>
      </c>
      <c r="AS37" s="88">
        <v>280827</v>
      </c>
      <c r="AT37" s="88">
        <v>280535</v>
      </c>
      <c r="AU37" s="88">
        <v>280535</v>
      </c>
      <c r="AV37" s="88">
        <v>276101</v>
      </c>
      <c r="AW37" s="88">
        <v>298790</v>
      </c>
      <c r="AX37" s="88">
        <v>298790</v>
      </c>
      <c r="AY37" s="88">
        <v>302766</v>
      </c>
      <c r="AZ37" s="88">
        <v>314315</v>
      </c>
      <c r="BA37" s="88">
        <v>309059</v>
      </c>
      <c r="BB37" s="88">
        <v>303392</v>
      </c>
      <c r="BC37" s="88">
        <v>298590</v>
      </c>
      <c r="BD37" s="73">
        <v>291176</v>
      </c>
    </row>
    <row r="38" spans="1:56" ht="12.75">
      <c r="A38" s="92" t="s">
        <v>135</v>
      </c>
      <c r="B38" s="88">
        <v>0</v>
      </c>
      <c r="C38" s="88">
        <v>0</v>
      </c>
      <c r="D38" s="88">
        <v>0</v>
      </c>
      <c r="E38" s="93">
        <v>0</v>
      </c>
      <c r="F38" s="88">
        <v>0</v>
      </c>
      <c r="G38" s="88">
        <v>0</v>
      </c>
      <c r="H38" s="88">
        <v>0</v>
      </c>
      <c r="I38" s="93">
        <v>587</v>
      </c>
      <c r="J38" s="88">
        <v>4675</v>
      </c>
      <c r="K38" s="88">
        <v>19889</v>
      </c>
      <c r="L38" s="88">
        <v>19301</v>
      </c>
      <c r="M38" s="93">
        <v>14213</v>
      </c>
      <c r="N38" s="88">
        <v>13690</v>
      </c>
      <c r="O38" s="88">
        <v>14327</v>
      </c>
      <c r="P38" s="88">
        <v>12909</v>
      </c>
      <c r="Q38" s="93">
        <v>12995</v>
      </c>
      <c r="R38" s="88">
        <v>12987</v>
      </c>
      <c r="S38" s="88">
        <v>14722</v>
      </c>
      <c r="T38" s="88">
        <v>16904</v>
      </c>
      <c r="U38" s="93">
        <v>17704</v>
      </c>
      <c r="V38" s="88">
        <v>18192</v>
      </c>
      <c r="W38" s="88">
        <v>18829</v>
      </c>
      <c r="X38" s="88">
        <v>18943</v>
      </c>
      <c r="Y38" s="93">
        <v>33016</v>
      </c>
      <c r="Z38" s="88">
        <v>33219</v>
      </c>
      <c r="AA38" s="88">
        <v>35963</v>
      </c>
      <c r="AB38" s="88">
        <v>36470</v>
      </c>
      <c r="AC38" s="93">
        <v>71238</v>
      </c>
      <c r="AD38" s="88">
        <v>73230</v>
      </c>
      <c r="AE38" s="88">
        <v>69312</v>
      </c>
      <c r="AF38" s="88">
        <v>69203</v>
      </c>
      <c r="AG38" s="93">
        <v>69103</v>
      </c>
      <c r="AH38" s="88">
        <v>64280</v>
      </c>
      <c r="AI38" s="88">
        <v>66639</v>
      </c>
      <c r="AJ38" s="88">
        <v>66365</v>
      </c>
      <c r="AK38" s="93">
        <v>137980</v>
      </c>
      <c r="AL38" s="101">
        <v>122376</v>
      </c>
      <c r="AM38" s="88">
        <v>130548</v>
      </c>
      <c r="AN38" s="88">
        <v>127098</v>
      </c>
      <c r="AO38" s="88">
        <v>123003</v>
      </c>
      <c r="AP38" s="88">
        <v>119289</v>
      </c>
      <c r="AQ38" s="372">
        <v>130548</v>
      </c>
      <c r="AR38" s="88">
        <v>127098</v>
      </c>
      <c r="AS38" s="88">
        <v>123003</v>
      </c>
      <c r="AT38" s="88">
        <v>118312</v>
      </c>
      <c r="AU38" s="88">
        <v>118312</v>
      </c>
      <c r="AV38" s="88">
        <v>113183</v>
      </c>
      <c r="AW38" s="88">
        <v>110954</v>
      </c>
      <c r="AX38" s="88">
        <v>110954</v>
      </c>
      <c r="AY38" s="88">
        <v>119842</v>
      </c>
      <c r="AZ38" s="88">
        <v>119655</v>
      </c>
      <c r="BA38" s="88">
        <v>110797</v>
      </c>
      <c r="BB38" s="88">
        <v>101573</v>
      </c>
      <c r="BC38" s="88">
        <v>108850</v>
      </c>
      <c r="BD38" s="73">
        <v>125071</v>
      </c>
    </row>
    <row r="39" spans="1:56" ht="12.75">
      <c r="A39" s="92" t="s">
        <v>136</v>
      </c>
      <c r="B39" s="88">
        <v>61</v>
      </c>
      <c r="C39" s="88">
        <v>4244</v>
      </c>
      <c r="D39" s="88">
        <v>4062</v>
      </c>
      <c r="E39" s="93">
        <v>360</v>
      </c>
      <c r="F39" s="88">
        <v>290</v>
      </c>
      <c r="G39" s="88">
        <v>255</v>
      </c>
      <c r="H39" s="88">
        <v>309</v>
      </c>
      <c r="I39" s="93">
        <v>270</v>
      </c>
      <c r="J39" s="88">
        <v>65024</v>
      </c>
      <c r="K39" s="88">
        <v>65765</v>
      </c>
      <c r="L39" s="88">
        <v>71935</v>
      </c>
      <c r="M39" s="93">
        <v>71931</v>
      </c>
      <c r="N39" s="88">
        <v>62522</v>
      </c>
      <c r="O39" s="88">
        <v>51402</v>
      </c>
      <c r="P39" s="88">
        <v>52197</v>
      </c>
      <c r="Q39" s="93">
        <v>53181</v>
      </c>
      <c r="R39" s="88">
        <v>6333</v>
      </c>
      <c r="S39" s="88">
        <v>5540</v>
      </c>
      <c r="T39" s="88">
        <v>5475</v>
      </c>
      <c r="U39" s="93">
        <v>5386</v>
      </c>
      <c r="V39" s="88">
        <v>49929</v>
      </c>
      <c r="W39" s="88">
        <v>50747</v>
      </c>
      <c r="X39" s="88">
        <v>43507</v>
      </c>
      <c r="Y39" s="93">
        <v>56881</v>
      </c>
      <c r="Z39" s="88">
        <v>56424</v>
      </c>
      <c r="AA39" s="88">
        <v>93635</v>
      </c>
      <c r="AB39" s="88">
        <v>86500</v>
      </c>
      <c r="AC39" s="93">
        <v>138094</v>
      </c>
      <c r="AD39" s="88">
        <v>105320</v>
      </c>
      <c r="AE39" s="88">
        <v>62300</v>
      </c>
      <c r="AF39" s="88">
        <v>43141</v>
      </c>
      <c r="AG39" s="93">
        <v>11824</v>
      </c>
      <c r="AH39" s="88">
        <v>12209</v>
      </c>
      <c r="AI39" s="88">
        <v>17086</v>
      </c>
      <c r="AJ39" s="88">
        <v>28163</v>
      </c>
      <c r="AK39" s="93">
        <v>36538</v>
      </c>
      <c r="AL39" s="101">
        <v>38756</v>
      </c>
      <c r="AM39" s="88">
        <v>42179</v>
      </c>
      <c r="AN39" s="88">
        <v>40231</v>
      </c>
      <c r="AO39" s="88">
        <v>45011</v>
      </c>
      <c r="AP39" s="88">
        <v>46528</v>
      </c>
      <c r="AQ39" s="372">
        <v>42211</v>
      </c>
      <c r="AR39" s="88">
        <v>40266</v>
      </c>
      <c r="AS39" s="88">
        <v>45045</v>
      </c>
      <c r="AT39" s="88">
        <v>46110</v>
      </c>
      <c r="AU39" s="88">
        <v>46110</v>
      </c>
      <c r="AV39" s="88">
        <v>54399</v>
      </c>
      <c r="AW39" s="88">
        <v>43335</v>
      </c>
      <c r="AX39" s="88">
        <v>43335</v>
      </c>
      <c r="AY39" s="88">
        <v>26107</v>
      </c>
      <c r="AZ39" s="88">
        <v>51046</v>
      </c>
      <c r="BA39" s="88">
        <v>52384</v>
      </c>
      <c r="BB39" s="88">
        <v>58730</v>
      </c>
      <c r="BC39" s="88">
        <v>64331</v>
      </c>
      <c r="BD39" s="73">
        <v>58578</v>
      </c>
    </row>
    <row r="40" spans="1:56" ht="12.75">
      <c r="A40" s="95" t="s">
        <v>137</v>
      </c>
      <c r="B40" s="96">
        <v>357668</v>
      </c>
      <c r="C40" s="96">
        <v>326325</v>
      </c>
      <c r="D40" s="88">
        <v>316558</v>
      </c>
      <c r="E40" s="93">
        <v>265957</v>
      </c>
      <c r="F40" s="96">
        <v>211112</v>
      </c>
      <c r="G40" s="96">
        <v>187637</v>
      </c>
      <c r="H40" s="88">
        <v>229739</v>
      </c>
      <c r="I40" s="93">
        <v>195035</v>
      </c>
      <c r="J40" s="96">
        <v>275449</v>
      </c>
      <c r="K40" s="96">
        <v>307207</v>
      </c>
      <c r="L40" s="88">
        <v>337695</v>
      </c>
      <c r="M40" s="93">
        <v>430995</v>
      </c>
      <c r="N40" s="96">
        <v>347586</v>
      </c>
      <c r="O40" s="96">
        <v>326223</v>
      </c>
      <c r="P40" s="88">
        <v>351101</v>
      </c>
      <c r="Q40" s="93">
        <v>319716</v>
      </c>
      <c r="R40" s="96">
        <v>221136</v>
      </c>
      <c r="S40" s="96">
        <v>325937</v>
      </c>
      <c r="T40" s="88">
        <v>286172</v>
      </c>
      <c r="U40" s="93">
        <v>427979</v>
      </c>
      <c r="V40" s="96">
        <v>405701</v>
      </c>
      <c r="W40" s="96">
        <v>430506</v>
      </c>
      <c r="X40" s="88">
        <v>405848</v>
      </c>
      <c r="Y40" s="93">
        <v>410822</v>
      </c>
      <c r="Z40" s="96">
        <v>410960</v>
      </c>
      <c r="AA40" s="96">
        <v>438611</v>
      </c>
      <c r="AB40" s="88">
        <v>617816</v>
      </c>
      <c r="AC40" s="93">
        <v>850546</v>
      </c>
      <c r="AD40" s="96">
        <v>1138449</v>
      </c>
      <c r="AE40" s="96">
        <v>840175</v>
      </c>
      <c r="AF40" s="96">
        <v>1204787</v>
      </c>
      <c r="AG40" s="97">
        <v>958859</v>
      </c>
      <c r="AH40" s="96">
        <v>1228573</v>
      </c>
      <c r="AI40" s="96">
        <v>1574664</v>
      </c>
      <c r="AJ40" s="96">
        <v>1211916</v>
      </c>
      <c r="AK40" s="97">
        <v>1289557</v>
      </c>
      <c r="AL40" s="291">
        <v>1272957</v>
      </c>
      <c r="AM40" s="96">
        <v>1289153</v>
      </c>
      <c r="AN40" s="96">
        <v>1488444</v>
      </c>
      <c r="AO40" s="96">
        <v>1417237</v>
      </c>
      <c r="AP40" s="96">
        <v>1392124</v>
      </c>
      <c r="AQ40" s="373">
        <v>1289884</v>
      </c>
      <c r="AR40" s="96">
        <v>1489233</v>
      </c>
      <c r="AS40" s="96">
        <v>1417271</v>
      </c>
      <c r="AT40" s="96">
        <v>1392867</v>
      </c>
      <c r="AU40" s="96">
        <v>1392867</v>
      </c>
      <c r="AV40" s="96">
        <v>1316253</v>
      </c>
      <c r="AW40" s="96">
        <v>1205916</v>
      </c>
      <c r="AX40" s="96">
        <v>1205916</v>
      </c>
      <c r="AY40" s="96">
        <v>1231886</v>
      </c>
      <c r="AZ40" s="96">
        <v>1347165</v>
      </c>
      <c r="BA40" s="96">
        <v>1279884</v>
      </c>
      <c r="BB40" s="96">
        <v>1034787</v>
      </c>
      <c r="BC40" s="96">
        <v>1134454</v>
      </c>
      <c r="BD40" s="75">
        <v>1157922</v>
      </c>
    </row>
    <row r="41" ht="12.75">
      <c r="A41" s="98"/>
    </row>
    <row r="42" ht="12.75">
      <c r="A42" s="95" t="s">
        <v>138</v>
      </c>
    </row>
    <row r="43" spans="1:56" ht="12.75">
      <c r="A43" s="92" t="s">
        <v>139</v>
      </c>
      <c r="B43" s="88">
        <v>167527</v>
      </c>
      <c r="C43" s="88">
        <v>159534</v>
      </c>
      <c r="D43" s="88">
        <v>157128</v>
      </c>
      <c r="E43" s="93">
        <v>160628</v>
      </c>
      <c r="F43" s="88">
        <v>147434</v>
      </c>
      <c r="G43" s="88">
        <v>150174</v>
      </c>
      <c r="H43" s="88">
        <v>155954</v>
      </c>
      <c r="I43" s="93">
        <v>159029</v>
      </c>
      <c r="J43" s="88">
        <v>155326</v>
      </c>
      <c r="K43" s="88">
        <v>224129</v>
      </c>
      <c r="L43" s="88">
        <v>215319</v>
      </c>
      <c r="M43" s="93">
        <v>260420</v>
      </c>
      <c r="N43" s="88">
        <v>248311</v>
      </c>
      <c r="O43" s="88">
        <v>296732</v>
      </c>
      <c r="P43" s="88">
        <v>295514</v>
      </c>
      <c r="Q43" s="93">
        <v>319630</v>
      </c>
      <c r="R43" s="88">
        <v>368174</v>
      </c>
      <c r="S43" s="88">
        <v>370647</v>
      </c>
      <c r="T43" s="88">
        <v>421786</v>
      </c>
      <c r="U43" s="93">
        <v>444683</v>
      </c>
      <c r="V43" s="88">
        <v>459131</v>
      </c>
      <c r="W43" s="88">
        <v>505127</v>
      </c>
      <c r="X43" s="88">
        <v>507224</v>
      </c>
      <c r="Y43" s="93">
        <v>467993</v>
      </c>
      <c r="Z43" s="88">
        <v>452838</v>
      </c>
      <c r="AA43" s="88">
        <v>456401</v>
      </c>
      <c r="AB43" s="88">
        <v>509968</v>
      </c>
      <c r="AC43" s="93">
        <v>525489</v>
      </c>
      <c r="AD43" s="88">
        <v>536114</v>
      </c>
      <c r="AE43" s="88">
        <v>695541</v>
      </c>
      <c r="AF43" s="88">
        <v>584715</v>
      </c>
      <c r="AG43" s="93">
        <v>549294</v>
      </c>
      <c r="AH43" s="88">
        <v>568300</v>
      </c>
      <c r="AI43" s="88">
        <v>828296</v>
      </c>
      <c r="AJ43" s="88">
        <v>754561</v>
      </c>
      <c r="AK43" s="93">
        <v>797321</v>
      </c>
      <c r="AL43" s="101">
        <v>746909</v>
      </c>
      <c r="AM43" s="88">
        <v>739840</v>
      </c>
      <c r="AN43" s="88">
        <v>947655</v>
      </c>
      <c r="AO43" s="88">
        <v>785268</v>
      </c>
      <c r="AP43" s="88">
        <v>808721</v>
      </c>
      <c r="AQ43" s="372">
        <v>747457</v>
      </c>
      <c r="AR43" s="88">
        <v>958423</v>
      </c>
      <c r="AS43" s="88">
        <v>797346</v>
      </c>
      <c r="AT43" s="88">
        <v>800958</v>
      </c>
      <c r="AU43" s="88">
        <v>800958</v>
      </c>
      <c r="AV43" s="88">
        <v>900299</v>
      </c>
      <c r="AW43" s="88">
        <v>879548</v>
      </c>
      <c r="AX43" s="88">
        <v>879548</v>
      </c>
      <c r="AY43" s="88">
        <v>1005480</v>
      </c>
      <c r="AZ43" s="88">
        <v>1008780</v>
      </c>
      <c r="BA43" s="88">
        <v>1016422</v>
      </c>
      <c r="BB43" s="88">
        <v>991490</v>
      </c>
      <c r="BC43" s="88">
        <v>1049726</v>
      </c>
      <c r="BD43" s="73">
        <v>912035</v>
      </c>
    </row>
    <row r="44" spans="1:56" ht="12.75">
      <c r="A44" s="92" t="s">
        <v>485</v>
      </c>
      <c r="B44" s="88"/>
      <c r="C44" s="88"/>
      <c r="D44" s="88"/>
      <c r="E44" s="93"/>
      <c r="F44" s="88"/>
      <c r="G44" s="88"/>
      <c r="H44" s="88"/>
      <c r="I44" s="93"/>
      <c r="J44" s="88"/>
      <c r="K44" s="88"/>
      <c r="L44" s="88"/>
      <c r="M44" s="93"/>
      <c r="N44" s="88"/>
      <c r="O44" s="88"/>
      <c r="P44" s="88"/>
      <c r="Q44" s="93"/>
      <c r="R44" s="88"/>
      <c r="S44" s="88"/>
      <c r="T44" s="88"/>
      <c r="U44" s="93"/>
      <c r="V44" s="88"/>
      <c r="W44" s="88"/>
      <c r="X44" s="88">
        <v>2713</v>
      </c>
      <c r="Y44" s="93">
        <v>467</v>
      </c>
      <c r="Z44" s="88">
        <v>5586</v>
      </c>
      <c r="AA44" s="88">
        <v>26169</v>
      </c>
      <c r="AB44" s="88">
        <v>45368</v>
      </c>
      <c r="AC44" s="93">
        <v>6234</v>
      </c>
      <c r="AD44" s="88">
        <v>18437</v>
      </c>
      <c r="AE44" s="88">
        <v>18812</v>
      </c>
      <c r="AF44" s="88">
        <v>2356</v>
      </c>
      <c r="AG44" s="93">
        <v>2782</v>
      </c>
      <c r="AH44" s="88">
        <v>3945</v>
      </c>
      <c r="AI44" s="88">
        <v>6964</v>
      </c>
      <c r="AJ44" s="88">
        <v>26187</v>
      </c>
      <c r="AK44" s="93">
        <v>2024</v>
      </c>
      <c r="AL44" s="101">
        <v>2784</v>
      </c>
      <c r="AM44" s="88">
        <v>2322</v>
      </c>
      <c r="AN44" s="88">
        <v>29331</v>
      </c>
      <c r="AO44" s="88">
        <v>33722</v>
      </c>
      <c r="AP44" s="88">
        <v>9873</v>
      </c>
      <c r="AQ44" s="372">
        <v>4183</v>
      </c>
      <c r="AR44" s="88">
        <v>31391</v>
      </c>
      <c r="AS44" s="88">
        <v>34384</v>
      </c>
      <c r="AT44" s="88">
        <v>10672</v>
      </c>
      <c r="AU44" s="88">
        <v>10672</v>
      </c>
      <c r="AV44" s="88">
        <v>29891</v>
      </c>
      <c r="AW44" s="88">
        <v>24373</v>
      </c>
      <c r="AX44" s="88">
        <v>24373</v>
      </c>
      <c r="AY44" s="88">
        <v>27180</v>
      </c>
      <c r="AZ44" s="88">
        <v>37184</v>
      </c>
      <c r="BA44" s="88">
        <v>51780</v>
      </c>
      <c r="BB44" s="88">
        <v>19118</v>
      </c>
      <c r="BC44" s="88">
        <v>21292</v>
      </c>
      <c r="BD44" s="73">
        <v>13430</v>
      </c>
    </row>
    <row r="45" spans="1:56" ht="12.75">
      <c r="A45" s="92" t="s">
        <v>134</v>
      </c>
      <c r="B45" s="88">
        <v>10535</v>
      </c>
      <c r="C45" s="88">
        <v>10504</v>
      </c>
      <c r="D45" s="88">
        <v>10634</v>
      </c>
      <c r="E45" s="93">
        <v>12025</v>
      </c>
      <c r="F45" s="88">
        <v>12081</v>
      </c>
      <c r="G45" s="88">
        <v>11161</v>
      </c>
      <c r="H45" s="88">
        <v>10835</v>
      </c>
      <c r="I45" s="93">
        <v>15173</v>
      </c>
      <c r="J45" s="88">
        <v>15339</v>
      </c>
      <c r="K45" s="88">
        <v>23125</v>
      </c>
      <c r="L45" s="88">
        <v>26388</v>
      </c>
      <c r="M45" s="93">
        <v>26172</v>
      </c>
      <c r="N45" s="88">
        <v>27630</v>
      </c>
      <c r="O45" s="88">
        <v>24533</v>
      </c>
      <c r="P45" s="88">
        <v>24892</v>
      </c>
      <c r="Q45" s="93">
        <v>46038</v>
      </c>
      <c r="R45" s="88">
        <v>20125</v>
      </c>
      <c r="S45" s="88">
        <v>16769</v>
      </c>
      <c r="T45" s="88">
        <v>15352</v>
      </c>
      <c r="U45" s="93">
        <v>12256</v>
      </c>
      <c r="V45" s="88">
        <v>15971</v>
      </c>
      <c r="W45" s="88">
        <v>13935</v>
      </c>
      <c r="X45" s="88">
        <v>14178</v>
      </c>
      <c r="Y45" s="93">
        <v>10507</v>
      </c>
      <c r="Z45" s="88">
        <v>9029</v>
      </c>
      <c r="AA45" s="88">
        <v>9434</v>
      </c>
      <c r="AB45" s="88">
        <v>9325</v>
      </c>
      <c r="AC45" s="93">
        <v>12450</v>
      </c>
      <c r="AD45" s="88">
        <v>13242</v>
      </c>
      <c r="AE45" s="88">
        <v>9808</v>
      </c>
      <c r="AF45" s="88">
        <v>14678</v>
      </c>
      <c r="AG45" s="93">
        <v>5842</v>
      </c>
      <c r="AH45" s="88">
        <v>6947</v>
      </c>
      <c r="AI45" s="88">
        <v>12822</v>
      </c>
      <c r="AJ45" s="88">
        <v>20727</v>
      </c>
      <c r="AK45" s="93">
        <v>32438</v>
      </c>
      <c r="AL45" s="101">
        <v>32865</v>
      </c>
      <c r="AM45" s="88">
        <v>29686</v>
      </c>
      <c r="AN45" s="88">
        <v>73718</v>
      </c>
      <c r="AO45" s="88">
        <v>69782</v>
      </c>
      <c r="AP45" s="88">
        <v>38300</v>
      </c>
      <c r="AQ45" s="372">
        <v>29686</v>
      </c>
      <c r="AR45" s="88">
        <v>73718</v>
      </c>
      <c r="AS45" s="88">
        <v>69782</v>
      </c>
      <c r="AT45" s="88">
        <v>43842</v>
      </c>
      <c r="AU45" s="88">
        <v>43842</v>
      </c>
      <c r="AV45" s="88">
        <v>46024</v>
      </c>
      <c r="AW45" s="88">
        <v>38579</v>
      </c>
      <c r="AX45" s="88">
        <v>38579</v>
      </c>
      <c r="AY45" s="88">
        <v>38725</v>
      </c>
      <c r="AZ45" s="88">
        <v>37227</v>
      </c>
      <c r="BA45" s="88">
        <v>38401</v>
      </c>
      <c r="BB45" s="88">
        <v>44252</v>
      </c>
      <c r="BC45" s="88">
        <v>43290</v>
      </c>
      <c r="BD45" s="73">
        <v>42035</v>
      </c>
    </row>
    <row r="46" spans="1:56" ht="12.75">
      <c r="A46" s="92" t="s">
        <v>140</v>
      </c>
      <c r="B46" s="88">
        <v>6636</v>
      </c>
      <c r="C46" s="88">
        <v>21090</v>
      </c>
      <c r="D46" s="88">
        <v>37503</v>
      </c>
      <c r="E46" s="93">
        <v>54427</v>
      </c>
      <c r="F46" s="88">
        <v>65597</v>
      </c>
      <c r="G46" s="88">
        <v>64066</v>
      </c>
      <c r="H46" s="88">
        <v>69921</v>
      </c>
      <c r="I46" s="93">
        <v>64634</v>
      </c>
      <c r="J46" s="88">
        <v>56703</v>
      </c>
      <c r="K46" s="88">
        <v>68665</v>
      </c>
      <c r="L46" s="88">
        <v>69390</v>
      </c>
      <c r="M46" s="93">
        <v>70756</v>
      </c>
      <c r="N46" s="88">
        <v>116939</v>
      </c>
      <c r="O46" s="88">
        <v>121959</v>
      </c>
      <c r="P46" s="88">
        <v>118490</v>
      </c>
      <c r="Q46" s="93">
        <v>54384</v>
      </c>
      <c r="R46" s="88">
        <v>64141</v>
      </c>
      <c r="S46" s="88">
        <v>6286</v>
      </c>
      <c r="T46" s="88">
        <v>7767</v>
      </c>
      <c r="U46" s="93">
        <v>2485</v>
      </c>
      <c r="V46" s="88">
        <v>4729</v>
      </c>
      <c r="W46" s="88">
        <v>1504</v>
      </c>
      <c r="X46" s="88">
        <v>2164</v>
      </c>
      <c r="Y46" s="93">
        <v>2175</v>
      </c>
      <c r="Z46" s="88">
        <v>2853</v>
      </c>
      <c r="AA46" s="88">
        <v>3192</v>
      </c>
      <c r="AB46" s="88">
        <v>2140</v>
      </c>
      <c r="AC46" s="93">
        <v>57976</v>
      </c>
      <c r="AD46" s="88">
        <v>77346</v>
      </c>
      <c r="AE46" s="88">
        <v>113941</v>
      </c>
      <c r="AF46" s="88">
        <v>81171</v>
      </c>
      <c r="AG46" s="93">
        <v>80918</v>
      </c>
      <c r="AH46" s="88">
        <v>114206</v>
      </c>
      <c r="AI46" s="88">
        <v>220608</v>
      </c>
      <c r="AJ46" s="88">
        <v>262663</v>
      </c>
      <c r="AK46" s="93">
        <v>178434</v>
      </c>
      <c r="AL46" s="101">
        <v>178464</v>
      </c>
      <c r="AM46" s="88">
        <v>273507</v>
      </c>
      <c r="AN46" s="88">
        <v>225358</v>
      </c>
      <c r="AO46" s="88">
        <v>327548</v>
      </c>
      <c r="AP46" s="88">
        <v>162428</v>
      </c>
      <c r="AQ46" s="372">
        <v>273507</v>
      </c>
      <c r="AR46" s="88">
        <v>225358</v>
      </c>
      <c r="AS46" s="88">
        <v>327548</v>
      </c>
      <c r="AT46" s="88">
        <v>160863</v>
      </c>
      <c r="AU46" s="88">
        <v>160863</v>
      </c>
      <c r="AV46" s="88">
        <v>249828</v>
      </c>
      <c r="AW46" s="88">
        <v>215297</v>
      </c>
      <c r="AX46" s="88">
        <v>215297</v>
      </c>
      <c r="AY46" s="88">
        <v>175629</v>
      </c>
      <c r="AZ46" s="88">
        <v>136288</v>
      </c>
      <c r="BA46" s="88">
        <v>190531</v>
      </c>
      <c r="BB46" s="88">
        <v>156296</v>
      </c>
      <c r="BC46" s="88">
        <v>135131</v>
      </c>
      <c r="BD46" s="73">
        <v>144786</v>
      </c>
    </row>
    <row r="47" spans="1:56" ht="12.75">
      <c r="A47" s="92" t="s">
        <v>141</v>
      </c>
      <c r="B47" s="88">
        <v>61625</v>
      </c>
      <c r="C47" s="88">
        <v>64662</v>
      </c>
      <c r="D47" s="88">
        <v>80021</v>
      </c>
      <c r="E47" s="93">
        <v>74461</v>
      </c>
      <c r="F47" s="88">
        <v>65371</v>
      </c>
      <c r="G47" s="88">
        <v>53709</v>
      </c>
      <c r="H47" s="88">
        <v>45705</v>
      </c>
      <c r="I47" s="93">
        <v>51458</v>
      </c>
      <c r="J47" s="88">
        <v>47276</v>
      </c>
      <c r="K47" s="88">
        <v>52832</v>
      </c>
      <c r="L47" s="88">
        <v>77704</v>
      </c>
      <c r="M47" s="93">
        <v>64771</v>
      </c>
      <c r="N47" s="88">
        <v>60543</v>
      </c>
      <c r="O47" s="88">
        <v>56564</v>
      </c>
      <c r="P47" s="88">
        <v>41179</v>
      </c>
      <c r="Q47" s="93">
        <v>92987</v>
      </c>
      <c r="R47" s="88">
        <v>67201</v>
      </c>
      <c r="S47" s="88">
        <v>41617</v>
      </c>
      <c r="T47" s="88">
        <v>188990</v>
      </c>
      <c r="U47" s="93">
        <v>87794</v>
      </c>
      <c r="V47" s="88">
        <v>1092</v>
      </c>
      <c r="W47" s="88">
        <v>1206</v>
      </c>
      <c r="X47" s="88">
        <v>1515</v>
      </c>
      <c r="Y47" s="93">
        <v>1478</v>
      </c>
      <c r="Z47" s="88">
        <v>1490</v>
      </c>
      <c r="AA47" s="88">
        <v>1496</v>
      </c>
      <c r="AB47" s="88">
        <v>1437</v>
      </c>
      <c r="AC47" s="93">
        <v>51281</v>
      </c>
      <c r="AD47" s="88">
        <v>18030</v>
      </c>
      <c r="AE47" s="88">
        <v>17254</v>
      </c>
      <c r="AF47" s="88">
        <v>36475</v>
      </c>
      <c r="AG47" s="93">
        <v>100207</v>
      </c>
      <c r="AH47" s="88">
        <v>32748</v>
      </c>
      <c r="AI47" s="88">
        <v>21028</v>
      </c>
      <c r="AJ47" s="88">
        <v>74681</v>
      </c>
      <c r="AK47" s="93">
        <v>103714</v>
      </c>
      <c r="AL47" s="101">
        <v>103577</v>
      </c>
      <c r="AM47" s="88">
        <v>113249</v>
      </c>
      <c r="AN47" s="88">
        <v>47063</v>
      </c>
      <c r="AO47" s="88">
        <v>45968</v>
      </c>
      <c r="AP47" s="88">
        <v>101948</v>
      </c>
      <c r="AQ47" s="372">
        <v>113389</v>
      </c>
      <c r="AR47" s="88">
        <v>47223</v>
      </c>
      <c r="AS47" s="88">
        <v>45968</v>
      </c>
      <c r="AT47" s="88">
        <v>102050</v>
      </c>
      <c r="AU47" s="88">
        <v>102050</v>
      </c>
      <c r="AV47" s="88">
        <v>49226</v>
      </c>
      <c r="AW47" s="88">
        <v>180749</v>
      </c>
      <c r="AX47" s="88">
        <v>180749</v>
      </c>
      <c r="AY47" s="88">
        <v>135725</v>
      </c>
      <c r="AZ47" s="88">
        <v>183905</v>
      </c>
      <c r="BA47" s="88">
        <v>129022</v>
      </c>
      <c r="BB47" s="88">
        <v>339790</v>
      </c>
      <c r="BC47" s="88">
        <v>242278</v>
      </c>
      <c r="BD47" s="73">
        <v>261819</v>
      </c>
    </row>
    <row r="48" spans="1:56" ht="25.5">
      <c r="A48" s="92" t="s">
        <v>339</v>
      </c>
      <c r="B48" s="88"/>
      <c r="C48" s="88"/>
      <c r="D48" s="88"/>
      <c r="E48" s="93"/>
      <c r="F48" s="88"/>
      <c r="G48" s="88"/>
      <c r="H48" s="88"/>
      <c r="I48" s="93"/>
      <c r="J48" s="88"/>
      <c r="K48" s="88"/>
      <c r="L48" s="88"/>
      <c r="M48" s="93"/>
      <c r="N48" s="88"/>
      <c r="O48" s="88"/>
      <c r="P48" s="88"/>
      <c r="Q48" s="93"/>
      <c r="R48" s="88"/>
      <c r="S48" s="88"/>
      <c r="T48" s="88"/>
      <c r="U48" s="93"/>
      <c r="V48" s="88"/>
      <c r="W48" s="88"/>
      <c r="X48" s="88"/>
      <c r="Y48" s="93"/>
      <c r="Z48" s="88"/>
      <c r="AA48" s="88"/>
      <c r="AB48" s="88"/>
      <c r="AC48" s="93"/>
      <c r="AD48" s="88"/>
      <c r="AE48" s="88"/>
      <c r="AF48" s="88"/>
      <c r="AG48" s="93"/>
      <c r="AH48" s="88"/>
      <c r="AI48" s="88">
        <v>553</v>
      </c>
      <c r="AJ48" s="88">
        <v>817</v>
      </c>
      <c r="AK48" s="93">
        <v>10073</v>
      </c>
      <c r="AL48" s="101">
        <v>399</v>
      </c>
      <c r="AM48" s="88">
        <v>10349</v>
      </c>
      <c r="AN48" s="88">
        <v>13777</v>
      </c>
      <c r="AO48" s="88">
        <v>12774</v>
      </c>
      <c r="AP48" s="88">
        <v>0</v>
      </c>
      <c r="AQ48" s="372">
        <v>0</v>
      </c>
      <c r="AR48" s="88">
        <v>0</v>
      </c>
      <c r="AS48" s="88">
        <v>0</v>
      </c>
      <c r="AT48" s="88">
        <v>0</v>
      </c>
      <c r="AU48" s="88"/>
      <c r="AV48" s="88">
        <v>0</v>
      </c>
      <c r="AW48" s="88">
        <v>0</v>
      </c>
      <c r="AX48" s="88">
        <v>0</v>
      </c>
      <c r="AY48" s="88">
        <v>0</v>
      </c>
      <c r="AZ48" s="88">
        <v>0</v>
      </c>
      <c r="BA48" s="88">
        <v>0</v>
      </c>
      <c r="BB48" s="88">
        <v>12524</v>
      </c>
      <c r="BC48" s="88">
        <v>8120</v>
      </c>
      <c r="BD48" s="73">
        <v>0</v>
      </c>
    </row>
    <row r="49" spans="1:56" ht="12.75">
      <c r="A49" s="95" t="s">
        <v>142</v>
      </c>
      <c r="B49" s="96">
        <v>246323</v>
      </c>
      <c r="C49" s="96">
        <v>255790</v>
      </c>
      <c r="D49" s="88">
        <v>285286</v>
      </c>
      <c r="E49" s="93">
        <v>301541</v>
      </c>
      <c r="F49" s="96">
        <v>290483</v>
      </c>
      <c r="G49" s="96">
        <v>279110</v>
      </c>
      <c r="H49" s="88">
        <v>282415</v>
      </c>
      <c r="I49" s="93">
        <v>290294</v>
      </c>
      <c r="J49" s="96">
        <v>274644</v>
      </c>
      <c r="K49" s="96">
        <v>368751</v>
      </c>
      <c r="L49" s="88">
        <v>388801</v>
      </c>
      <c r="M49" s="93">
        <v>422119</v>
      </c>
      <c r="N49" s="96">
        <v>453423</v>
      </c>
      <c r="O49" s="96">
        <v>499788</v>
      </c>
      <c r="P49" s="88">
        <v>480075</v>
      </c>
      <c r="Q49" s="93">
        <v>513039</v>
      </c>
      <c r="R49" s="96">
        <v>519641</v>
      </c>
      <c r="S49" s="96">
        <v>435319</v>
      </c>
      <c r="T49" s="88">
        <v>633895</v>
      </c>
      <c r="U49" s="93">
        <v>547218</v>
      </c>
      <c r="V49" s="96">
        <v>480923</v>
      </c>
      <c r="W49" s="96">
        <v>521772</v>
      </c>
      <c r="X49" s="88">
        <v>527794</v>
      </c>
      <c r="Y49" s="93">
        <v>482620</v>
      </c>
      <c r="Z49" s="96">
        <v>471796</v>
      </c>
      <c r="AA49" s="96">
        <v>496692</v>
      </c>
      <c r="AB49" s="88">
        <v>568238</v>
      </c>
      <c r="AC49" s="93">
        <v>653430</v>
      </c>
      <c r="AD49" s="96">
        <v>663169</v>
      </c>
      <c r="AE49" s="96">
        <v>855356</v>
      </c>
      <c r="AF49" s="88">
        <v>719395</v>
      </c>
      <c r="AG49" s="97">
        <v>739043</v>
      </c>
      <c r="AH49" s="96">
        <v>726146</v>
      </c>
      <c r="AI49" s="96">
        <v>1090271</v>
      </c>
      <c r="AJ49" s="96">
        <v>1139636</v>
      </c>
      <c r="AK49" s="97">
        <v>1124004</v>
      </c>
      <c r="AL49" s="291">
        <v>1064998</v>
      </c>
      <c r="AM49" s="96">
        <v>1168953</v>
      </c>
      <c r="AN49" s="96">
        <v>1336902</v>
      </c>
      <c r="AO49" s="96">
        <v>1275062</v>
      </c>
      <c r="AP49" s="96">
        <v>1121270</v>
      </c>
      <c r="AQ49" s="373">
        <v>1168222</v>
      </c>
      <c r="AR49" s="96">
        <v>1336113</v>
      </c>
      <c r="AS49" s="96">
        <v>1275028</v>
      </c>
      <c r="AT49" s="96">
        <v>1118385</v>
      </c>
      <c r="AU49" s="96">
        <v>1118385</v>
      </c>
      <c r="AV49" s="96">
        <v>1275268</v>
      </c>
      <c r="AW49" s="96">
        <v>1338546</v>
      </c>
      <c r="AX49" s="96">
        <v>1338546</v>
      </c>
      <c r="AY49" s="96">
        <v>1382739</v>
      </c>
      <c r="AZ49" s="96">
        <v>1403384</v>
      </c>
      <c r="BA49" s="96">
        <v>1426156</v>
      </c>
      <c r="BB49" s="96">
        <v>1563470</v>
      </c>
      <c r="BC49" s="96">
        <v>1499837</v>
      </c>
      <c r="BD49" s="96">
        <f>SUM(BD43:BD48)</f>
        <v>1374105</v>
      </c>
    </row>
    <row r="50" spans="1:34" ht="12.75">
      <c r="A50" s="102"/>
      <c r="AH50" s="91" t="s">
        <v>132</v>
      </c>
    </row>
    <row r="51" spans="1:56" ht="12.75">
      <c r="A51" s="95" t="s">
        <v>143</v>
      </c>
      <c r="B51" s="96">
        <v>1048418</v>
      </c>
      <c r="C51" s="96">
        <v>1024114</v>
      </c>
      <c r="D51" s="88">
        <v>1035133</v>
      </c>
      <c r="E51" s="93">
        <v>1008642</v>
      </c>
      <c r="F51" s="96">
        <v>949408</v>
      </c>
      <c r="G51" s="96">
        <v>939491</v>
      </c>
      <c r="H51" s="88">
        <v>994301</v>
      </c>
      <c r="I51" s="93">
        <v>959484</v>
      </c>
      <c r="J51" s="96">
        <v>1048051</v>
      </c>
      <c r="K51" s="96">
        <v>1266788</v>
      </c>
      <c r="L51" s="88">
        <v>1334551</v>
      </c>
      <c r="M51" s="93">
        <v>1532735</v>
      </c>
      <c r="N51" s="96">
        <v>1435136</v>
      </c>
      <c r="O51" s="96">
        <v>1506791</v>
      </c>
      <c r="P51" s="88">
        <v>1569629</v>
      </c>
      <c r="Q51" s="93">
        <v>1634880</v>
      </c>
      <c r="R51" s="96">
        <v>1649483</v>
      </c>
      <c r="S51" s="96">
        <v>1703957</v>
      </c>
      <c r="T51" s="88">
        <v>1917829</v>
      </c>
      <c r="U51" s="93">
        <v>2028835</v>
      </c>
      <c r="V51" s="96">
        <v>2215511</v>
      </c>
      <c r="W51" s="96">
        <v>2125989</v>
      </c>
      <c r="X51" s="88">
        <v>2194457</v>
      </c>
      <c r="Y51" s="93">
        <v>2164645</v>
      </c>
      <c r="Z51" s="96">
        <v>2150716</v>
      </c>
      <c r="AA51" s="96">
        <v>1993500</v>
      </c>
      <c r="AB51" s="88">
        <v>2001404</v>
      </c>
      <c r="AC51" s="93">
        <v>2421042</v>
      </c>
      <c r="AD51" s="96">
        <v>2786895</v>
      </c>
      <c r="AE51" s="96">
        <v>2852149</v>
      </c>
      <c r="AF51" s="96">
        <v>3093404</v>
      </c>
      <c r="AG51" s="97">
        <v>2929810</v>
      </c>
      <c r="AH51" s="96">
        <v>3240509</v>
      </c>
      <c r="AI51" s="96">
        <v>4332414</v>
      </c>
      <c r="AJ51" s="96">
        <v>4007399</v>
      </c>
      <c r="AK51" s="97">
        <f>AK40+AK49+AK33</f>
        <v>4276863</v>
      </c>
      <c r="AL51" s="291">
        <v>4167607</v>
      </c>
      <c r="AM51" s="96">
        <v>4333498</v>
      </c>
      <c r="AN51" s="96">
        <v>4732342</v>
      </c>
      <c r="AO51" s="96">
        <v>4623214</v>
      </c>
      <c r="AP51" s="96">
        <v>4487331</v>
      </c>
      <c r="AQ51" s="373">
        <v>4333498</v>
      </c>
      <c r="AR51" s="96">
        <v>4732342</v>
      </c>
      <c r="AS51" s="96">
        <v>4623214</v>
      </c>
      <c r="AT51" s="96">
        <v>4485729</v>
      </c>
      <c r="AU51" s="96">
        <v>4485729</v>
      </c>
      <c r="AV51" s="96">
        <v>4592265</v>
      </c>
      <c r="AW51" s="96">
        <v>4548615</v>
      </c>
      <c r="AX51" s="96">
        <v>4548615</v>
      </c>
      <c r="AY51" s="96">
        <v>4771077</v>
      </c>
      <c r="AZ51" s="96">
        <v>4993868</v>
      </c>
      <c r="BA51" s="96">
        <v>4952529</v>
      </c>
      <c r="BB51" s="96">
        <v>4770075</v>
      </c>
      <c r="BC51" s="96">
        <v>4854760</v>
      </c>
      <c r="BD51" s="96">
        <f>BD40+BD49+BD33</f>
        <v>4778638</v>
      </c>
    </row>
    <row r="52" spans="1:56" ht="12.75">
      <c r="A52" s="102"/>
      <c r="B52" s="96"/>
      <c r="C52" s="96"/>
      <c r="D52" s="88"/>
      <c r="F52" s="96"/>
      <c r="G52" s="96"/>
      <c r="H52" s="88"/>
      <c r="J52" s="96"/>
      <c r="K52" s="96"/>
      <c r="L52" s="88"/>
      <c r="N52" s="96"/>
      <c r="O52" s="96"/>
      <c r="P52" s="88"/>
      <c r="R52" s="96"/>
      <c r="S52" s="96"/>
      <c r="T52" s="88"/>
      <c r="V52" s="96"/>
      <c r="W52" s="96"/>
      <c r="X52" s="88"/>
      <c r="Z52" s="96"/>
      <c r="AA52" s="96"/>
      <c r="AB52" s="88"/>
      <c r="AD52" s="96"/>
      <c r="AE52" s="96"/>
      <c r="AF52" s="96"/>
      <c r="AG52" s="116"/>
      <c r="AH52" s="96"/>
      <c r="AI52" s="96"/>
      <c r="AJ52" s="96"/>
      <c r="AK52" s="116"/>
      <c r="AL52" s="302"/>
      <c r="AM52" s="96"/>
      <c r="AN52" s="96"/>
      <c r="AO52" s="96"/>
      <c r="AP52" s="96"/>
      <c r="AQ52" s="373"/>
      <c r="AR52" s="96"/>
      <c r="AS52" s="96"/>
      <c r="AT52" s="96"/>
      <c r="AU52" s="96"/>
      <c r="AV52" s="96"/>
      <c r="AW52" s="96"/>
      <c r="AX52" s="96"/>
      <c r="AY52" s="96"/>
      <c r="AZ52" s="96"/>
      <c r="BA52" s="96"/>
      <c r="BB52" s="96"/>
      <c r="BC52" s="96"/>
      <c r="BD52" s="96"/>
    </row>
    <row r="53" ht="12.75">
      <c r="A53" s="3" t="s">
        <v>478</v>
      </c>
    </row>
    <row r="54" ht="51">
      <c r="A54" s="98" t="s">
        <v>482</v>
      </c>
    </row>
    <row r="55" ht="25.5">
      <c r="A55" s="98" t="s">
        <v>483</v>
      </c>
    </row>
    <row r="56" ht="25.5">
      <c r="A56" s="98" t="s">
        <v>484</v>
      </c>
    </row>
    <row r="57" ht="12.75">
      <c r="A57" s="91" t="s">
        <v>548</v>
      </c>
    </row>
    <row r="58" ht="12.75"/>
  </sheetData>
  <sheetProtection/>
  <printOptions/>
  <pageMargins left="0.75" right="0.75" top="1" bottom="1" header="0.5" footer="0.5"/>
  <pageSetup fitToHeight="1" fitToWidth="1" horizontalDpi="300" verticalDpi="300" orientation="landscape" paperSize="9" scale="17" r:id="rId1"/>
</worksheet>
</file>

<file path=xl/worksheets/sheet13.xml><?xml version="1.0" encoding="utf-8"?>
<worksheet xmlns="http://schemas.openxmlformats.org/spreadsheetml/2006/main" xmlns:r="http://schemas.openxmlformats.org/officeDocument/2006/relationships">
  <sheetPr>
    <tabColor indexed="52"/>
    <pageSetUpPr fitToPage="1"/>
  </sheetPr>
  <dimension ref="A2:BT85"/>
  <sheetViews>
    <sheetView zoomScalePageLayoutView="0" workbookViewId="0" topLeftCell="A1">
      <pane xSplit="1" ySplit="2" topLeftCell="BK3" activePane="bottomRight" state="frozen"/>
      <selection pane="topLeft" activeCell="AR8" sqref="AR8"/>
      <selection pane="topRight" activeCell="AR8" sqref="AR8"/>
      <selection pane="bottomLeft" activeCell="AR8" sqref="AR8"/>
      <selection pane="bottomRight" activeCell="A2" sqref="A2"/>
    </sheetView>
  </sheetViews>
  <sheetFormatPr defaultColWidth="9.140625" defaultRowHeight="12.75" zeroHeight="1" outlineLevelCol="1"/>
  <cols>
    <col min="1" max="1" width="65.7109375" style="91" customWidth="1"/>
    <col min="2" max="21" width="11.140625" style="91" hidden="1" customWidth="1" outlineLevel="1"/>
    <col min="22" max="22" width="11.140625" style="91" customWidth="1" collapsed="1"/>
    <col min="23" max="46" width="11.140625" style="91" customWidth="1"/>
    <col min="47" max="47" width="11.140625" style="290" customWidth="1"/>
    <col min="48" max="52" width="11.140625" style="91" customWidth="1"/>
    <col min="53" max="53" width="11.140625" style="371" customWidth="1"/>
    <col min="54" max="71" width="11.140625" style="91" customWidth="1"/>
    <col min="72" max="16384" width="9.140625" style="91" customWidth="1"/>
  </cols>
  <sheetData>
    <row r="1" ht="12.75"/>
    <row r="2" spans="1:71" ht="25.5">
      <c r="A2" s="89" t="s">
        <v>383</v>
      </c>
      <c r="B2" s="90" t="s">
        <v>2</v>
      </c>
      <c r="C2" s="90" t="s">
        <v>3</v>
      </c>
      <c r="D2" s="90" t="s">
        <v>4</v>
      </c>
      <c r="E2" s="90" t="s">
        <v>5</v>
      </c>
      <c r="F2" s="90" t="s">
        <v>6</v>
      </c>
      <c r="G2" s="90" t="s">
        <v>12</v>
      </c>
      <c r="H2" s="90" t="s">
        <v>13</v>
      </c>
      <c r="I2" s="90" t="s">
        <v>14</v>
      </c>
      <c r="J2" s="90" t="s">
        <v>15</v>
      </c>
      <c r="K2" s="90" t="s">
        <v>16</v>
      </c>
      <c r="L2" s="90" t="s">
        <v>17</v>
      </c>
      <c r="M2" s="90" t="s">
        <v>18</v>
      </c>
      <c r="N2" s="90" t="s">
        <v>19</v>
      </c>
      <c r="O2" s="90" t="s">
        <v>20</v>
      </c>
      <c r="P2" s="90" t="s">
        <v>21</v>
      </c>
      <c r="Q2" s="90" t="s">
        <v>22</v>
      </c>
      <c r="R2" s="90" t="s">
        <v>23</v>
      </c>
      <c r="S2" s="90" t="s">
        <v>24</v>
      </c>
      <c r="T2" s="90" t="s">
        <v>25</v>
      </c>
      <c r="U2" s="90" t="s">
        <v>26</v>
      </c>
      <c r="V2" s="90" t="s">
        <v>27</v>
      </c>
      <c r="W2" s="90" t="s">
        <v>28</v>
      </c>
      <c r="X2" s="90" t="s">
        <v>29</v>
      </c>
      <c r="Y2" s="90" t="s">
        <v>30</v>
      </c>
      <c r="Z2" s="90" t="s">
        <v>31</v>
      </c>
      <c r="AA2" s="90" t="s">
        <v>32</v>
      </c>
      <c r="AB2" s="90" t="s">
        <v>33</v>
      </c>
      <c r="AC2" s="90" t="s">
        <v>34</v>
      </c>
      <c r="AD2" s="90" t="s">
        <v>271</v>
      </c>
      <c r="AE2" s="90" t="s">
        <v>272</v>
      </c>
      <c r="AF2" s="90" t="s">
        <v>274</v>
      </c>
      <c r="AG2" s="90" t="s">
        <v>276</v>
      </c>
      <c r="AH2" s="90" t="s">
        <v>278</v>
      </c>
      <c r="AI2" s="90" t="s">
        <v>280</v>
      </c>
      <c r="AJ2" s="90" t="s">
        <v>281</v>
      </c>
      <c r="AK2" s="90" t="s">
        <v>289</v>
      </c>
      <c r="AL2" s="90" t="s">
        <v>290</v>
      </c>
      <c r="AM2" s="90" t="s">
        <v>291</v>
      </c>
      <c r="AN2" s="90" t="s">
        <v>292</v>
      </c>
      <c r="AO2" s="90" t="s">
        <v>293</v>
      </c>
      <c r="AP2" s="90" t="s">
        <v>329</v>
      </c>
      <c r="AQ2" s="90" t="s">
        <v>330</v>
      </c>
      <c r="AR2" s="90" t="s">
        <v>331</v>
      </c>
      <c r="AS2" s="90" t="s">
        <v>332</v>
      </c>
      <c r="AT2" s="90" t="s">
        <v>333</v>
      </c>
      <c r="AU2" s="289" t="s">
        <v>458</v>
      </c>
      <c r="AV2" s="90" t="s">
        <v>448</v>
      </c>
      <c r="AW2" s="90" t="s">
        <v>451</v>
      </c>
      <c r="AX2" s="90" t="s">
        <v>453</v>
      </c>
      <c r="AY2" s="90" t="s">
        <v>454</v>
      </c>
      <c r="AZ2" s="90" t="s">
        <v>457</v>
      </c>
      <c r="BA2" s="439" t="s">
        <v>492</v>
      </c>
      <c r="BB2" s="440" t="s">
        <v>553</v>
      </c>
      <c r="BC2" s="440" t="s">
        <v>560</v>
      </c>
      <c r="BD2" s="440" t="s">
        <v>493</v>
      </c>
      <c r="BE2" s="440" t="s">
        <v>582</v>
      </c>
      <c r="BF2" s="440" t="s">
        <v>494</v>
      </c>
      <c r="BG2" s="440" t="s">
        <v>573</v>
      </c>
      <c r="BH2" s="440" t="s">
        <v>495</v>
      </c>
      <c r="BI2" s="440" t="s">
        <v>554</v>
      </c>
      <c r="BJ2" s="440" t="s">
        <v>614</v>
      </c>
      <c r="BK2" s="440" t="s">
        <v>561</v>
      </c>
      <c r="BL2" s="440" t="s">
        <v>572</v>
      </c>
      <c r="BM2" s="440" t="s">
        <v>570</v>
      </c>
      <c r="BN2" s="440" t="s">
        <v>574</v>
      </c>
      <c r="BO2" s="440" t="s">
        <v>595</v>
      </c>
      <c r="BP2" s="440" t="s">
        <v>605</v>
      </c>
      <c r="BQ2" s="440" t="s">
        <v>617</v>
      </c>
      <c r="BR2" s="440" t="s">
        <v>619</v>
      </c>
      <c r="BS2" s="440" t="s">
        <v>620</v>
      </c>
    </row>
    <row r="3" ht="12.75" customHeight="1"/>
    <row r="4" spans="1:71" ht="12.75">
      <c r="A4" s="107" t="s">
        <v>146</v>
      </c>
      <c r="B4" s="106"/>
      <c r="C4" s="106"/>
      <c r="D4" s="106"/>
      <c r="E4" s="106"/>
      <c r="F4" s="97">
        <v>-3177</v>
      </c>
      <c r="G4" s="108"/>
      <c r="H4" s="108"/>
      <c r="I4" s="108"/>
      <c r="J4" s="108"/>
      <c r="K4" s="97">
        <v>57169</v>
      </c>
      <c r="L4" s="96">
        <v>28147</v>
      </c>
      <c r="M4" s="96">
        <v>292</v>
      </c>
      <c r="N4" s="96">
        <v>28629</v>
      </c>
      <c r="O4" s="96">
        <v>26003</v>
      </c>
      <c r="P4" s="97">
        <v>83071</v>
      </c>
      <c r="Q4" s="96">
        <v>61821</v>
      </c>
      <c r="R4" s="96">
        <v>47684</v>
      </c>
      <c r="S4" s="96">
        <v>81643</v>
      </c>
      <c r="T4" s="96">
        <v>57623</v>
      </c>
      <c r="U4" s="97">
        <v>248771</v>
      </c>
      <c r="V4" s="96">
        <v>92420</v>
      </c>
      <c r="W4" s="96">
        <v>77425</v>
      </c>
      <c r="X4" s="96">
        <v>69861</v>
      </c>
      <c r="Y4" s="96">
        <v>64730</v>
      </c>
      <c r="Z4" s="97">
        <v>304436</v>
      </c>
      <c r="AA4" s="96">
        <v>155167</v>
      </c>
      <c r="AB4" s="96">
        <v>102326</v>
      </c>
      <c r="AC4" s="96">
        <v>94754</v>
      </c>
      <c r="AD4" s="96">
        <f>AE4-AC4-AB4-AA4</f>
        <v>42566</v>
      </c>
      <c r="AE4" s="97">
        <v>394813</v>
      </c>
      <c r="AF4" s="108"/>
      <c r="AG4" s="108"/>
      <c r="AH4" s="108"/>
      <c r="AI4" s="106"/>
      <c r="AJ4" s="106"/>
      <c r="AK4" s="106"/>
      <c r="AL4" s="106"/>
      <c r="AM4" s="88"/>
      <c r="AN4" s="88"/>
      <c r="AO4" s="93"/>
      <c r="AP4" s="106"/>
      <c r="AQ4" s="106">
        <v>25560</v>
      </c>
      <c r="AR4" s="88"/>
      <c r="AS4" s="96"/>
      <c r="AT4" s="93"/>
      <c r="AU4" s="101"/>
      <c r="AV4" s="96"/>
      <c r="AW4" s="96"/>
      <c r="AX4" s="96"/>
      <c r="AY4" s="96"/>
      <c r="AZ4" s="93"/>
      <c r="BA4" s="373"/>
      <c r="BB4" s="96"/>
      <c r="BC4" s="96"/>
      <c r="BD4" s="96"/>
      <c r="BE4" s="96"/>
      <c r="BF4" s="96"/>
      <c r="BG4" s="96"/>
      <c r="BH4" s="96"/>
      <c r="BI4" s="96"/>
      <c r="BJ4" s="96"/>
      <c r="BK4" s="96"/>
      <c r="BL4" s="96"/>
      <c r="BM4" s="96"/>
      <c r="BN4" s="96"/>
      <c r="BO4" s="96"/>
      <c r="BP4" s="96"/>
      <c r="BQ4" s="96"/>
      <c r="BR4" s="96"/>
      <c r="BS4" s="96"/>
    </row>
    <row r="5" spans="1:71" ht="12.75">
      <c r="A5" s="107" t="s">
        <v>106</v>
      </c>
      <c r="B5" s="106"/>
      <c r="C5" s="106"/>
      <c r="D5" s="106"/>
      <c r="E5" s="106"/>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96">
        <v>77759</v>
      </c>
      <c r="AG5" s="96">
        <v>57474</v>
      </c>
      <c r="AH5" s="96">
        <v>103849</v>
      </c>
      <c r="AI5" s="96">
        <v>105174</v>
      </c>
      <c r="AJ5" s="97">
        <v>344256</v>
      </c>
      <c r="AK5" s="96">
        <v>73287</v>
      </c>
      <c r="AL5" s="96">
        <v>128058</v>
      </c>
      <c r="AM5" s="88">
        <v>-9967</v>
      </c>
      <c r="AN5" s="88">
        <v>-33182</v>
      </c>
      <c r="AO5" s="93">
        <v>158196</v>
      </c>
      <c r="AP5" s="106">
        <v>-92080</v>
      </c>
      <c r="AQ5" s="106">
        <v>498</v>
      </c>
      <c r="AR5" s="96">
        <v>52312</v>
      </c>
      <c r="AS5" s="96">
        <v>19786</v>
      </c>
      <c r="AT5" s="93">
        <v>181262</v>
      </c>
      <c r="AU5" s="101">
        <v>170372</v>
      </c>
      <c r="AV5" s="96">
        <v>27171</v>
      </c>
      <c r="AW5" s="96">
        <v>-29668</v>
      </c>
      <c r="AX5" s="96">
        <v>129481</v>
      </c>
      <c r="AY5" s="96">
        <v>42651</v>
      </c>
      <c r="AZ5" s="93">
        <v>169635</v>
      </c>
      <c r="BA5" s="373">
        <v>27171</v>
      </c>
      <c r="BB5" s="96">
        <v>-29669</v>
      </c>
      <c r="BC5" s="96">
        <v>129480</v>
      </c>
      <c r="BD5" s="96">
        <v>45030</v>
      </c>
      <c r="BE5" s="96">
        <v>45029</v>
      </c>
      <c r="BF5" s="96">
        <v>172014</v>
      </c>
      <c r="BG5" s="96">
        <v>172014</v>
      </c>
      <c r="BH5" s="96">
        <v>140719</v>
      </c>
      <c r="BI5" s="96">
        <v>71048</v>
      </c>
      <c r="BJ5" s="96">
        <v>71048</v>
      </c>
      <c r="BK5" s="96">
        <v>37111</v>
      </c>
      <c r="BL5" s="96">
        <v>37111</v>
      </c>
      <c r="BM5" s="96">
        <v>-30482</v>
      </c>
      <c r="BN5" s="96">
        <v>218396</v>
      </c>
      <c r="BO5" s="96">
        <v>89963</v>
      </c>
      <c r="BP5" s="96">
        <v>-10533</v>
      </c>
      <c r="BQ5" s="96">
        <v>106512</v>
      </c>
      <c r="BR5" s="96">
        <v>20748</v>
      </c>
      <c r="BS5" s="96">
        <v>206690</v>
      </c>
    </row>
    <row r="6" spans="1:71" ht="25.5">
      <c r="A6" s="109" t="s">
        <v>318</v>
      </c>
      <c r="B6" s="96"/>
      <c r="C6" s="96"/>
      <c r="D6" s="96"/>
      <c r="E6" s="96"/>
      <c r="F6" s="97"/>
      <c r="G6" s="96"/>
      <c r="H6" s="96"/>
      <c r="I6" s="96"/>
      <c r="J6" s="96"/>
      <c r="K6" s="97"/>
      <c r="L6" s="96"/>
      <c r="M6" s="96"/>
      <c r="N6" s="96"/>
      <c r="O6" s="96"/>
      <c r="P6" s="97"/>
      <c r="Q6" s="96"/>
      <c r="R6" s="96"/>
      <c r="S6" s="96"/>
      <c r="T6" s="96"/>
      <c r="U6" s="97"/>
      <c r="V6" s="96"/>
      <c r="W6" s="96"/>
      <c r="X6" s="96"/>
      <c r="Y6" s="96"/>
      <c r="Z6" s="97"/>
      <c r="AA6" s="96"/>
      <c r="AB6" s="96"/>
      <c r="AC6" s="96"/>
      <c r="AD6" s="96"/>
      <c r="AE6" s="97"/>
      <c r="AF6" s="96"/>
      <c r="AG6" s="96"/>
      <c r="AH6" s="96"/>
      <c r="AI6" s="96"/>
      <c r="AJ6" s="97"/>
      <c r="AK6" s="96"/>
      <c r="AL6" s="96"/>
      <c r="AM6" s="96"/>
      <c r="AN6" s="96"/>
      <c r="AO6" s="93"/>
      <c r="AP6" s="96"/>
      <c r="AQ6" s="96"/>
      <c r="AR6" s="96"/>
      <c r="AS6" s="96"/>
      <c r="AT6" s="93"/>
      <c r="AU6" s="101"/>
      <c r="AV6" s="96"/>
      <c r="AW6" s="96"/>
      <c r="AX6" s="96"/>
      <c r="AY6" s="96"/>
      <c r="AZ6" s="93"/>
      <c r="BA6" s="373"/>
      <c r="BB6" s="96"/>
      <c r="BC6" s="96"/>
      <c r="BD6" s="96"/>
      <c r="BE6" s="96"/>
      <c r="BF6" s="96"/>
      <c r="BG6" s="96"/>
      <c r="BH6" s="96"/>
      <c r="BI6" s="96"/>
      <c r="BJ6" s="96"/>
      <c r="BK6" s="96"/>
      <c r="BL6" s="96"/>
      <c r="BM6" s="96"/>
      <c r="BN6" s="96"/>
      <c r="BO6" s="96"/>
      <c r="BP6" s="96"/>
      <c r="BQ6" s="96"/>
      <c r="BR6" s="96"/>
      <c r="BS6" s="96"/>
    </row>
    <row r="7" spans="1:71" ht="12.75">
      <c r="A7" s="110" t="s">
        <v>89</v>
      </c>
      <c r="B7" s="106"/>
      <c r="C7" s="106"/>
      <c r="D7" s="106"/>
      <c r="E7" s="106"/>
      <c r="F7" s="93">
        <v>75671</v>
      </c>
      <c r="G7" s="106"/>
      <c r="H7" s="106"/>
      <c r="I7" s="106"/>
      <c r="J7" s="106"/>
      <c r="K7" s="93">
        <v>71394</v>
      </c>
      <c r="L7" s="88">
        <v>20149</v>
      </c>
      <c r="M7" s="88">
        <v>22428</v>
      </c>
      <c r="N7" s="88">
        <v>24429</v>
      </c>
      <c r="O7" s="88">
        <v>28131</v>
      </c>
      <c r="P7" s="93">
        <v>95137</v>
      </c>
      <c r="Q7" s="88">
        <v>24583</v>
      </c>
      <c r="R7" s="88">
        <v>24582</v>
      </c>
      <c r="S7" s="88">
        <v>24387</v>
      </c>
      <c r="T7" s="88">
        <v>33692</v>
      </c>
      <c r="U7" s="93">
        <v>107244</v>
      </c>
      <c r="V7" s="88">
        <v>26887</v>
      </c>
      <c r="W7" s="88">
        <v>29196</v>
      </c>
      <c r="X7" s="88">
        <v>26501</v>
      </c>
      <c r="Y7" s="88">
        <v>40916</v>
      </c>
      <c r="Z7" s="93">
        <v>123500</v>
      </c>
      <c r="AA7" s="88">
        <v>31615</v>
      </c>
      <c r="AB7" s="88">
        <v>32615</v>
      </c>
      <c r="AC7" s="88">
        <v>32369</v>
      </c>
      <c r="AD7" s="88">
        <f aca="true" t="shared" si="0" ref="AD7:AD78">AE7-AC7-AB7-AA7</f>
        <v>36227</v>
      </c>
      <c r="AE7" s="93">
        <v>132826</v>
      </c>
      <c r="AF7" s="88">
        <v>34078</v>
      </c>
      <c r="AG7" s="88">
        <v>32036</v>
      </c>
      <c r="AH7" s="88">
        <v>38816</v>
      </c>
      <c r="AI7" s="88">
        <v>35608</v>
      </c>
      <c r="AJ7" s="93">
        <v>140538</v>
      </c>
      <c r="AK7" s="88">
        <v>34323</v>
      </c>
      <c r="AL7" s="88">
        <v>34152</v>
      </c>
      <c r="AM7" s="88">
        <v>38513</v>
      </c>
      <c r="AN7" s="88">
        <v>44940</v>
      </c>
      <c r="AO7" s="93">
        <v>151928</v>
      </c>
      <c r="AP7" s="96">
        <v>40223</v>
      </c>
      <c r="AQ7" s="88">
        <v>45180</v>
      </c>
      <c r="AR7" s="88">
        <v>57129</v>
      </c>
      <c r="AS7" s="88">
        <v>70615</v>
      </c>
      <c r="AT7" s="93">
        <v>213147</v>
      </c>
      <c r="AU7" s="101">
        <v>207140</v>
      </c>
      <c r="AV7" s="88">
        <v>70686</v>
      </c>
      <c r="AW7" s="88">
        <v>64417</v>
      </c>
      <c r="AX7" s="88">
        <v>67180</v>
      </c>
      <c r="AY7" s="88">
        <v>76282</v>
      </c>
      <c r="AZ7" s="93">
        <v>278565</v>
      </c>
      <c r="BA7" s="372">
        <v>70686</v>
      </c>
      <c r="BB7" s="88">
        <v>64417</v>
      </c>
      <c r="BC7" s="88">
        <v>67180</v>
      </c>
      <c r="BD7" s="88">
        <v>76786</v>
      </c>
      <c r="BE7" s="88">
        <v>77154</v>
      </c>
      <c r="BF7" s="88">
        <v>279069</v>
      </c>
      <c r="BG7" s="88">
        <v>280560</v>
      </c>
      <c r="BH7" s="88">
        <v>67914</v>
      </c>
      <c r="BI7" s="88">
        <v>76830</v>
      </c>
      <c r="BJ7" s="88">
        <v>82667</v>
      </c>
      <c r="BK7" s="88">
        <v>76227</v>
      </c>
      <c r="BL7" s="88">
        <v>77034</v>
      </c>
      <c r="BM7" s="88">
        <v>122245</v>
      </c>
      <c r="BN7" s="88">
        <v>349840</v>
      </c>
      <c r="BO7" s="88">
        <v>74052</v>
      </c>
      <c r="BP7" s="88">
        <v>74480</v>
      </c>
      <c r="BQ7" s="88">
        <v>70625</v>
      </c>
      <c r="BR7" s="88">
        <v>99283</v>
      </c>
      <c r="BS7" s="88">
        <v>318440</v>
      </c>
    </row>
    <row r="8" spans="1:71" ht="12.75">
      <c r="A8" s="110" t="s">
        <v>147</v>
      </c>
      <c r="B8" s="106"/>
      <c r="C8" s="106"/>
      <c r="D8" s="106"/>
      <c r="E8" s="106"/>
      <c r="F8" s="93">
        <v>-2169</v>
      </c>
      <c r="G8" s="106"/>
      <c r="H8" s="106"/>
      <c r="I8" s="106"/>
      <c r="J8" s="106"/>
      <c r="K8" s="93">
        <v>-816</v>
      </c>
      <c r="L8" s="88">
        <v>-892</v>
      </c>
      <c r="M8" s="88">
        <v>-1055</v>
      </c>
      <c r="N8" s="88">
        <v>1873</v>
      </c>
      <c r="O8" s="88">
        <v>-1303</v>
      </c>
      <c r="P8" s="93">
        <v>-1377</v>
      </c>
      <c r="Q8" s="88">
        <v>0</v>
      </c>
      <c r="R8" s="88">
        <v>152</v>
      </c>
      <c r="S8" s="88">
        <v>163</v>
      </c>
      <c r="T8" s="88">
        <v>85</v>
      </c>
      <c r="U8" s="93">
        <v>400</v>
      </c>
      <c r="V8" s="88">
        <v>350</v>
      </c>
      <c r="W8" s="88">
        <v>927</v>
      </c>
      <c r="X8" s="88">
        <v>72</v>
      </c>
      <c r="Y8" s="88">
        <v>86</v>
      </c>
      <c r="Z8" s="93">
        <v>1435</v>
      </c>
      <c r="AA8" s="88">
        <v>0</v>
      </c>
      <c r="AB8" s="88">
        <v>0</v>
      </c>
      <c r="AC8" s="88">
        <v>0</v>
      </c>
      <c r="AD8" s="88">
        <f t="shared" si="0"/>
        <v>0</v>
      </c>
      <c r="AE8" s="93">
        <v>0</v>
      </c>
      <c r="AF8" s="88">
        <v>-13895</v>
      </c>
      <c r="AG8" s="88">
        <v>0</v>
      </c>
      <c r="AH8" s="88">
        <v>0</v>
      </c>
      <c r="AI8" s="88" t="s">
        <v>294</v>
      </c>
      <c r="AJ8" s="93"/>
      <c r="AK8" s="88" t="s">
        <v>296</v>
      </c>
      <c r="AL8" s="88">
        <v>0</v>
      </c>
      <c r="AM8" s="88"/>
      <c r="AN8" s="88"/>
      <c r="AO8" s="93"/>
      <c r="AP8" s="88"/>
      <c r="AQ8" s="88"/>
      <c r="AR8" s="88"/>
      <c r="AS8" s="96"/>
      <c r="AT8" s="93"/>
      <c r="AU8" s="101"/>
      <c r="AV8" s="88"/>
      <c r="AW8" s="88"/>
      <c r="AX8" s="88"/>
      <c r="AY8" s="88"/>
      <c r="AZ8" s="93"/>
      <c r="BA8" s="372"/>
      <c r="BB8" s="88"/>
      <c r="BC8" s="88"/>
      <c r="BD8" s="88"/>
      <c r="BE8" s="88"/>
      <c r="BF8" s="88"/>
      <c r="BG8" s="88"/>
      <c r="BH8" s="88"/>
      <c r="BI8" s="88"/>
      <c r="BJ8" s="88"/>
      <c r="BK8" s="88"/>
      <c r="BL8" s="88"/>
      <c r="BM8" s="88"/>
      <c r="BN8" s="88"/>
      <c r="BO8" s="88"/>
      <c r="BP8" s="88"/>
      <c r="BQ8" s="88"/>
      <c r="BR8" s="88"/>
      <c r="BS8" s="88"/>
    </row>
    <row r="9" spans="1:71" ht="25.5">
      <c r="A9" s="110" t="s">
        <v>322</v>
      </c>
      <c r="B9" s="106"/>
      <c r="C9" s="106"/>
      <c r="D9" s="106"/>
      <c r="E9" s="106"/>
      <c r="F9" s="93"/>
      <c r="G9" s="106"/>
      <c r="H9" s="106"/>
      <c r="I9" s="106"/>
      <c r="J9" s="106"/>
      <c r="K9" s="93"/>
      <c r="L9" s="88"/>
      <c r="M9" s="88"/>
      <c r="N9" s="88"/>
      <c r="O9" s="88"/>
      <c r="P9" s="93"/>
      <c r="Q9" s="88"/>
      <c r="R9" s="88"/>
      <c r="S9" s="88"/>
      <c r="T9" s="88"/>
      <c r="U9" s="93"/>
      <c r="V9" s="88"/>
      <c r="W9" s="88"/>
      <c r="X9" s="88"/>
      <c r="Y9" s="88"/>
      <c r="Z9" s="93"/>
      <c r="AA9" s="88"/>
      <c r="AB9" s="88"/>
      <c r="AC9" s="88">
        <v>0</v>
      </c>
      <c r="AD9" s="88">
        <f t="shared" si="0"/>
        <v>0</v>
      </c>
      <c r="AE9" s="93"/>
      <c r="AF9" s="88"/>
      <c r="AG9" s="88">
        <v>-456</v>
      </c>
      <c r="AH9" s="88">
        <v>0</v>
      </c>
      <c r="AI9" s="88"/>
      <c r="AJ9" s="93">
        <v>-14351</v>
      </c>
      <c r="AK9" s="88"/>
      <c r="AL9" s="88"/>
      <c r="AM9" s="88"/>
      <c r="AN9" s="88"/>
      <c r="AO9" s="93"/>
      <c r="AP9" s="88"/>
      <c r="AQ9" s="88"/>
      <c r="AR9" s="88"/>
      <c r="AS9" s="96"/>
      <c r="AT9" s="93"/>
      <c r="AU9" s="101"/>
      <c r="AV9" s="88"/>
      <c r="AW9" s="88"/>
      <c r="AX9" s="88"/>
      <c r="AY9" s="88"/>
      <c r="AZ9" s="93"/>
      <c r="BA9" s="372"/>
      <c r="BB9" s="88"/>
      <c r="BC9" s="88"/>
      <c r="BD9" s="88"/>
      <c r="BE9" s="88"/>
      <c r="BF9" s="88"/>
      <c r="BG9" s="88"/>
      <c r="BH9" s="88"/>
      <c r="BI9" s="88"/>
      <c r="BJ9" s="88"/>
      <c r="BK9" s="88"/>
      <c r="BL9" s="88"/>
      <c r="BM9" s="88"/>
      <c r="BN9" s="88"/>
      <c r="BO9" s="88"/>
      <c r="BP9" s="88"/>
      <c r="BQ9" s="88"/>
      <c r="BR9" s="88"/>
      <c r="BS9" s="88"/>
    </row>
    <row r="10" spans="1:71" ht="12.75">
      <c r="A10" s="110" t="s">
        <v>252</v>
      </c>
      <c r="B10" s="106"/>
      <c r="C10" s="106"/>
      <c r="D10" s="106"/>
      <c r="E10" s="106"/>
      <c r="F10" s="93">
        <v>18103</v>
      </c>
      <c r="G10" s="106"/>
      <c r="H10" s="106"/>
      <c r="I10" s="106"/>
      <c r="J10" s="106"/>
      <c r="K10" s="93">
        <v>2162</v>
      </c>
      <c r="L10" s="88">
        <v>200</v>
      </c>
      <c r="M10" s="88">
        <v>5622</v>
      </c>
      <c r="N10" s="88">
        <v>-5269</v>
      </c>
      <c r="O10" s="88">
        <v>432</v>
      </c>
      <c r="P10" s="93">
        <v>985</v>
      </c>
      <c r="Q10" s="88">
        <v>386</v>
      </c>
      <c r="R10" s="88">
        <v>-313</v>
      </c>
      <c r="S10" s="88">
        <v>91</v>
      </c>
      <c r="T10" s="88">
        <v>898</v>
      </c>
      <c r="U10" s="93">
        <v>1062</v>
      </c>
      <c r="V10" s="88">
        <v>-138</v>
      </c>
      <c r="W10" s="88">
        <v>441</v>
      </c>
      <c r="X10" s="88">
        <v>125</v>
      </c>
      <c r="Y10" s="88">
        <v>458</v>
      </c>
      <c r="Z10" s="93">
        <v>886</v>
      </c>
      <c r="AA10" s="88">
        <v>-159</v>
      </c>
      <c r="AB10" s="88">
        <v>242</v>
      </c>
      <c r="AC10" s="88">
        <v>2417</v>
      </c>
      <c r="AD10" s="88">
        <f t="shared" si="0"/>
        <v>-117</v>
      </c>
      <c r="AE10" s="93">
        <v>2383</v>
      </c>
      <c r="AF10" s="88">
        <v>300</v>
      </c>
      <c r="AG10" s="88">
        <v>-747</v>
      </c>
      <c r="AH10" s="88">
        <v>573</v>
      </c>
      <c r="AI10" s="88">
        <v>1243</v>
      </c>
      <c r="AJ10" s="93">
        <v>1369</v>
      </c>
      <c r="AK10" s="88">
        <v>-312</v>
      </c>
      <c r="AL10" s="88">
        <v>185</v>
      </c>
      <c r="AM10" s="88">
        <v>3324</v>
      </c>
      <c r="AN10" s="88">
        <v>23845</v>
      </c>
      <c r="AO10" s="93">
        <v>27042</v>
      </c>
      <c r="AP10" s="88">
        <v>-5314</v>
      </c>
      <c r="AQ10" s="88">
        <v>136</v>
      </c>
      <c r="AR10" s="88">
        <v>8919</v>
      </c>
      <c r="AS10" s="88">
        <v>-10090</v>
      </c>
      <c r="AT10" s="93">
        <v>-6349</v>
      </c>
      <c r="AU10" s="101">
        <v>-6615</v>
      </c>
      <c r="AV10" s="88">
        <v>-1725</v>
      </c>
      <c r="AW10" s="88">
        <v>3405</v>
      </c>
      <c r="AX10" s="88">
        <v>1132</v>
      </c>
      <c r="AY10" s="88">
        <v>770</v>
      </c>
      <c r="AZ10" s="93">
        <v>3582</v>
      </c>
      <c r="BA10" s="372">
        <v>-1725</v>
      </c>
      <c r="BB10" s="88">
        <v>3405</v>
      </c>
      <c r="BC10" s="88">
        <v>1132</v>
      </c>
      <c r="BD10" s="88">
        <v>-2950</v>
      </c>
      <c r="BE10" s="88">
        <v>-2950</v>
      </c>
      <c r="BF10" s="88">
        <v>-138</v>
      </c>
      <c r="BG10" s="88">
        <v>-138</v>
      </c>
      <c r="BH10" s="88">
        <v>570</v>
      </c>
      <c r="BI10" s="88">
        <v>10061</v>
      </c>
      <c r="BJ10" s="88">
        <v>10061</v>
      </c>
      <c r="BK10" s="88">
        <v>6031</v>
      </c>
      <c r="BL10" s="88">
        <v>6031</v>
      </c>
      <c r="BM10" s="88">
        <v>-12075</v>
      </c>
      <c r="BN10" s="88">
        <v>4587</v>
      </c>
      <c r="BO10" s="88">
        <v>-3116</v>
      </c>
      <c r="BP10" s="88">
        <v>5945</v>
      </c>
      <c r="BQ10" s="88">
        <v>-1633</v>
      </c>
      <c r="BR10" s="88">
        <v>2790</v>
      </c>
      <c r="BS10" s="88">
        <v>3986</v>
      </c>
    </row>
    <row r="11" spans="1:71" ht="12.75">
      <c r="A11" s="110" t="s">
        <v>148</v>
      </c>
      <c r="B11" s="106"/>
      <c r="C11" s="106"/>
      <c r="D11" s="106"/>
      <c r="E11" s="106"/>
      <c r="F11" s="93">
        <v>-381</v>
      </c>
      <c r="G11" s="106"/>
      <c r="H11" s="106"/>
      <c r="I11" s="106"/>
      <c r="J11" s="106"/>
      <c r="K11" s="93">
        <v>3239</v>
      </c>
      <c r="L11" s="88">
        <v>181</v>
      </c>
      <c r="M11" s="88">
        <v>620</v>
      </c>
      <c r="N11" s="88">
        <v>1393</v>
      </c>
      <c r="O11" s="88">
        <v>-1590</v>
      </c>
      <c r="P11" s="93">
        <v>604</v>
      </c>
      <c r="Q11" s="88">
        <v>30</v>
      </c>
      <c r="R11" s="88">
        <v>609</v>
      </c>
      <c r="S11" s="88">
        <v>-973</v>
      </c>
      <c r="T11" s="88">
        <v>473</v>
      </c>
      <c r="U11" s="93">
        <v>139</v>
      </c>
      <c r="V11" s="88">
        <v>-191</v>
      </c>
      <c r="W11" s="88">
        <v>-397</v>
      </c>
      <c r="X11" s="88">
        <v>-189</v>
      </c>
      <c r="Y11" s="88">
        <v>-1328</v>
      </c>
      <c r="Z11" s="93">
        <v>-2105</v>
      </c>
      <c r="AA11" s="88">
        <v>0</v>
      </c>
      <c r="AB11" s="88">
        <v>0</v>
      </c>
      <c r="AC11" s="88"/>
      <c r="AD11" s="88">
        <f t="shared" si="0"/>
        <v>0</v>
      </c>
      <c r="AE11" s="106"/>
      <c r="AF11" s="106"/>
      <c r="AG11" s="106"/>
      <c r="AH11" s="106"/>
      <c r="AI11" s="106"/>
      <c r="AJ11" s="106"/>
      <c r="AK11" s="106"/>
      <c r="AL11" s="106"/>
      <c r="AM11" s="88"/>
      <c r="AN11" s="88"/>
      <c r="AO11" s="93"/>
      <c r="AP11" s="88"/>
      <c r="AQ11" s="106"/>
      <c r="AR11" s="88"/>
      <c r="AS11" s="96"/>
      <c r="AT11" s="93"/>
      <c r="AU11" s="101"/>
      <c r="AV11" s="88"/>
      <c r="AW11" s="88"/>
      <c r="AX11" s="88"/>
      <c r="AY11" s="88"/>
      <c r="AZ11" s="93"/>
      <c r="BA11" s="372"/>
      <c r="BB11" s="88"/>
      <c r="BC11" s="88"/>
      <c r="BD11" s="88"/>
      <c r="BE11" s="88"/>
      <c r="BF11" s="88"/>
      <c r="BG11" s="88"/>
      <c r="BH11" s="88"/>
      <c r="BI11" s="88"/>
      <c r="BJ11" s="88"/>
      <c r="BK11" s="88"/>
      <c r="BL11" s="88"/>
      <c r="BM11" s="88"/>
      <c r="BN11" s="88"/>
      <c r="BO11" s="88"/>
      <c r="BP11" s="88"/>
      <c r="BQ11" s="88"/>
      <c r="BR11" s="88"/>
      <c r="BS11" s="88"/>
    </row>
    <row r="12" spans="1:71" ht="12.75">
      <c r="A12" s="110" t="s">
        <v>253</v>
      </c>
      <c r="B12" s="106"/>
      <c r="C12" s="106"/>
      <c r="D12" s="106"/>
      <c r="E12" s="106"/>
      <c r="F12" s="93">
        <v>-5020</v>
      </c>
      <c r="G12" s="106"/>
      <c r="H12" s="106"/>
      <c r="I12" s="106"/>
      <c r="J12" s="106"/>
      <c r="K12" s="93">
        <v>9245</v>
      </c>
      <c r="L12" s="88">
        <v>805</v>
      </c>
      <c r="M12" s="88">
        <v>-2091</v>
      </c>
      <c r="N12" s="88">
        <v>10152</v>
      </c>
      <c r="O12" s="88">
        <v>-3499</v>
      </c>
      <c r="P12" s="93">
        <v>5367</v>
      </c>
      <c r="Q12" s="88">
        <v>-3249</v>
      </c>
      <c r="R12" s="88">
        <v>-6460</v>
      </c>
      <c r="S12" s="88">
        <v>-100</v>
      </c>
      <c r="T12" s="88">
        <v>22254</v>
      </c>
      <c r="U12" s="93">
        <v>12445</v>
      </c>
      <c r="V12" s="88">
        <v>-1455</v>
      </c>
      <c r="W12" s="88">
        <v>-30207</v>
      </c>
      <c r="X12" s="88">
        <v>905</v>
      </c>
      <c r="Y12" s="88">
        <v>-9024</v>
      </c>
      <c r="Z12" s="93">
        <v>-39781</v>
      </c>
      <c r="AA12" s="88">
        <v>-1659</v>
      </c>
      <c r="AB12" s="88">
        <v>-1084</v>
      </c>
      <c r="AC12" s="88">
        <v>-638</v>
      </c>
      <c r="AD12" s="88">
        <f t="shared" si="0"/>
        <v>92</v>
      </c>
      <c r="AE12" s="93">
        <v>-3289</v>
      </c>
      <c r="AF12" s="88">
        <v>486</v>
      </c>
      <c r="AG12" s="88">
        <v>-993</v>
      </c>
      <c r="AH12" s="88">
        <v>-1554</v>
      </c>
      <c r="AI12" s="88">
        <v>996</v>
      </c>
      <c r="AJ12" s="93">
        <v>-1065</v>
      </c>
      <c r="AK12" s="88">
        <v>560</v>
      </c>
      <c r="AL12" s="88">
        <v>716</v>
      </c>
      <c r="AM12" s="88">
        <v>6242</v>
      </c>
      <c r="AN12" s="88">
        <v>-7205</v>
      </c>
      <c r="AO12" s="93">
        <v>313</v>
      </c>
      <c r="AP12" s="106">
        <v>472</v>
      </c>
      <c r="AQ12" s="88">
        <v>8430</v>
      </c>
      <c r="AR12" s="88">
        <v>7156</v>
      </c>
      <c r="AS12" s="88">
        <v>-3241</v>
      </c>
      <c r="AT12" s="93">
        <v>12817</v>
      </c>
      <c r="AU12" s="101">
        <v>12173</v>
      </c>
      <c r="AV12" s="88">
        <v>1566</v>
      </c>
      <c r="AW12" s="88">
        <v>46378</v>
      </c>
      <c r="AX12" s="88">
        <v>-5339</v>
      </c>
      <c r="AY12" s="88">
        <v>-31924</v>
      </c>
      <c r="AZ12" s="93">
        <v>10681</v>
      </c>
      <c r="BA12" s="372">
        <v>1566</v>
      </c>
      <c r="BB12" s="88">
        <v>46378</v>
      </c>
      <c r="BC12" s="88">
        <v>-5339</v>
      </c>
      <c r="BD12" s="88">
        <v>-24955</v>
      </c>
      <c r="BE12" s="88">
        <v>-24955</v>
      </c>
      <c r="BF12" s="88">
        <v>17650</v>
      </c>
      <c r="BG12" s="88">
        <v>17650</v>
      </c>
      <c r="BH12" s="88">
        <v>10460</v>
      </c>
      <c r="BI12" s="88">
        <v>-6212</v>
      </c>
      <c r="BJ12" s="88">
        <v>-6212</v>
      </c>
      <c r="BK12" s="88">
        <v>-5414</v>
      </c>
      <c r="BL12" s="88">
        <v>-5414</v>
      </c>
      <c r="BM12" s="88">
        <v>-2046</v>
      </c>
      <c r="BN12" s="88">
        <v>-3212</v>
      </c>
      <c r="BO12" s="88">
        <v>5608</v>
      </c>
      <c r="BP12" s="88">
        <v>10100</v>
      </c>
      <c r="BQ12" s="88">
        <v>-3024</v>
      </c>
      <c r="BR12" s="88">
        <v>-8736</v>
      </c>
      <c r="BS12" s="88">
        <v>3948</v>
      </c>
    </row>
    <row r="13" spans="1:71" ht="12.75">
      <c r="A13" s="110" t="s">
        <v>335</v>
      </c>
      <c r="B13" s="106"/>
      <c r="C13" s="106"/>
      <c r="D13" s="106"/>
      <c r="E13" s="106"/>
      <c r="F13" s="93">
        <v>414</v>
      </c>
      <c r="G13" s="106"/>
      <c r="H13" s="106"/>
      <c r="I13" s="106"/>
      <c r="J13" s="106"/>
      <c r="K13" s="93">
        <v>-139</v>
      </c>
      <c r="L13" s="88">
        <v>-1635</v>
      </c>
      <c r="M13" s="88">
        <v>1468</v>
      </c>
      <c r="N13" s="88">
        <v>-176</v>
      </c>
      <c r="O13" s="88">
        <v>-776</v>
      </c>
      <c r="P13" s="93">
        <v>-1119</v>
      </c>
      <c r="Q13" s="88">
        <v>-393</v>
      </c>
      <c r="R13" s="88">
        <v>-169</v>
      </c>
      <c r="S13" s="88">
        <v>-88</v>
      </c>
      <c r="T13" s="88">
        <v>-225</v>
      </c>
      <c r="U13" s="93">
        <v>-875</v>
      </c>
      <c r="V13" s="88">
        <v>2</v>
      </c>
      <c r="W13" s="88">
        <v>-595</v>
      </c>
      <c r="X13" s="88">
        <v>709</v>
      </c>
      <c r="Y13" s="88">
        <v>199</v>
      </c>
      <c r="Z13" s="93">
        <v>315</v>
      </c>
      <c r="AA13" s="88">
        <v>102</v>
      </c>
      <c r="AB13" s="88">
        <v>517</v>
      </c>
      <c r="AC13" s="88">
        <v>-506</v>
      </c>
      <c r="AD13" s="88">
        <f t="shared" si="0"/>
        <v>-1237</v>
      </c>
      <c r="AE13" s="93">
        <v>-1124</v>
      </c>
      <c r="AF13" s="88">
        <v>-2248</v>
      </c>
      <c r="AG13" s="88">
        <v>-297</v>
      </c>
      <c r="AH13" s="88">
        <v>-215</v>
      </c>
      <c r="AI13" s="88">
        <v>-76</v>
      </c>
      <c r="AJ13" s="93">
        <v>-2836</v>
      </c>
      <c r="AK13" s="88">
        <v>-235</v>
      </c>
      <c r="AL13" s="88">
        <v>-66</v>
      </c>
      <c r="AM13" s="88">
        <v>-1</v>
      </c>
      <c r="AN13" s="88">
        <v>-179</v>
      </c>
      <c r="AO13" s="93">
        <v>-481</v>
      </c>
      <c r="AP13" s="88">
        <v>-82</v>
      </c>
      <c r="AQ13" s="88">
        <v>-17406</v>
      </c>
      <c r="AR13" s="88">
        <v>-35</v>
      </c>
      <c r="AS13" s="88">
        <v>-2862</v>
      </c>
      <c r="AT13" s="93">
        <v>-20385</v>
      </c>
      <c r="AU13" s="101">
        <v>-20212</v>
      </c>
      <c r="AV13" s="88">
        <v>-1319</v>
      </c>
      <c r="AW13" s="88">
        <v>-646</v>
      </c>
      <c r="AX13" s="88">
        <v>-191</v>
      </c>
      <c r="AY13" s="88">
        <v>-72</v>
      </c>
      <c r="AZ13" s="93">
        <v>-2228</v>
      </c>
      <c r="BA13" s="372">
        <v>-1319</v>
      </c>
      <c r="BB13" s="88">
        <v>-646</v>
      </c>
      <c r="BC13" s="88">
        <v>-191</v>
      </c>
      <c r="BD13" s="88">
        <v>-72</v>
      </c>
      <c r="BE13" s="88">
        <v>-72</v>
      </c>
      <c r="BF13" s="88">
        <v>-2228</v>
      </c>
      <c r="BG13" s="88">
        <v>-2228</v>
      </c>
      <c r="BH13" s="88">
        <v>-2950</v>
      </c>
      <c r="BI13" s="88">
        <v>-876</v>
      </c>
      <c r="BJ13" s="88">
        <v>-876</v>
      </c>
      <c r="BK13" s="88">
        <v>-634</v>
      </c>
      <c r="BL13" s="88">
        <v>-634</v>
      </c>
      <c r="BM13" s="88">
        <v>-1826</v>
      </c>
      <c r="BN13" s="88">
        <v>-6286</v>
      </c>
      <c r="BO13" s="88">
        <v>-633</v>
      </c>
      <c r="BP13" s="88">
        <v>-121</v>
      </c>
      <c r="BQ13" s="88">
        <v>-349</v>
      </c>
      <c r="BR13" s="542">
        <v>-1431</v>
      </c>
      <c r="BS13" s="88">
        <v>-2534</v>
      </c>
    </row>
    <row r="14" spans="1:71" ht="12.75">
      <c r="A14" s="110" t="s">
        <v>337</v>
      </c>
      <c r="B14" s="106"/>
      <c r="C14" s="106"/>
      <c r="D14" s="106"/>
      <c r="E14" s="106"/>
      <c r="F14" s="93"/>
      <c r="G14" s="106"/>
      <c r="H14" s="106"/>
      <c r="I14" s="106"/>
      <c r="J14" s="106"/>
      <c r="K14" s="93"/>
      <c r="L14" s="88"/>
      <c r="M14" s="88"/>
      <c r="N14" s="88"/>
      <c r="O14" s="88"/>
      <c r="P14" s="93"/>
      <c r="Q14" s="88"/>
      <c r="R14" s="88"/>
      <c r="S14" s="88"/>
      <c r="T14" s="88"/>
      <c r="U14" s="93"/>
      <c r="V14" s="88"/>
      <c r="W14" s="88"/>
      <c r="X14" s="88"/>
      <c r="Y14" s="88"/>
      <c r="Z14" s="93"/>
      <c r="AA14" s="88"/>
      <c r="AB14" s="88"/>
      <c r="AC14" s="88"/>
      <c r="AD14" s="88"/>
      <c r="AE14" s="93"/>
      <c r="AF14" s="88"/>
      <c r="AG14" s="88"/>
      <c r="AH14" s="88"/>
      <c r="AI14" s="88"/>
      <c r="AJ14" s="93"/>
      <c r="AK14" s="88"/>
      <c r="AL14" s="88"/>
      <c r="AM14" s="88"/>
      <c r="AN14" s="88"/>
      <c r="AO14" s="93"/>
      <c r="AP14" s="88"/>
      <c r="AQ14" s="88">
        <v>-16972</v>
      </c>
      <c r="AR14" s="88">
        <v>213</v>
      </c>
      <c r="AS14" s="88">
        <v>-50950</v>
      </c>
      <c r="AT14" s="93">
        <v>-67709</v>
      </c>
      <c r="AU14" s="101">
        <v>-44210</v>
      </c>
      <c r="AV14" s="88">
        <v>0</v>
      </c>
      <c r="AW14" s="88"/>
      <c r="AX14" s="88"/>
      <c r="AY14" s="88"/>
      <c r="AZ14" s="93"/>
      <c r="BA14" s="372"/>
      <c r="BB14" s="88"/>
      <c r="BC14" s="88"/>
      <c r="BD14" s="88"/>
      <c r="BE14" s="88"/>
      <c r="BF14" s="88"/>
      <c r="BG14" s="88"/>
      <c r="BH14" s="88"/>
      <c r="BI14" s="88"/>
      <c r="BJ14" s="88"/>
      <c r="BK14" s="88"/>
      <c r="BL14" s="88"/>
      <c r="BM14" s="88"/>
      <c r="BN14" s="88"/>
      <c r="BO14" s="88"/>
      <c r="BP14" s="88"/>
      <c r="BQ14" s="88"/>
      <c r="BR14" s="88"/>
      <c r="BS14" s="88"/>
    </row>
    <row r="15" spans="1:71" ht="12.75">
      <c r="A15" s="110" t="s">
        <v>149</v>
      </c>
      <c r="B15" s="106"/>
      <c r="C15" s="106"/>
      <c r="D15" s="106"/>
      <c r="E15" s="106"/>
      <c r="F15" s="106"/>
      <c r="G15" s="106"/>
      <c r="H15" s="106"/>
      <c r="I15" s="106"/>
      <c r="J15" s="106"/>
      <c r="K15" s="106"/>
      <c r="L15" s="106"/>
      <c r="M15" s="106"/>
      <c r="N15" s="106"/>
      <c r="O15" s="106"/>
      <c r="P15" s="106"/>
      <c r="Q15" s="106"/>
      <c r="R15" s="88">
        <v>260</v>
      </c>
      <c r="S15" s="88">
        <v>-27</v>
      </c>
      <c r="T15" s="88">
        <v>9885</v>
      </c>
      <c r="U15" s="93">
        <v>10118</v>
      </c>
      <c r="V15" s="88">
        <v>-15</v>
      </c>
      <c r="W15" s="88">
        <v>-3039</v>
      </c>
      <c r="X15" s="88">
        <v>-1719</v>
      </c>
      <c r="Y15" s="88">
        <v>1039</v>
      </c>
      <c r="Z15" s="93">
        <v>-3734</v>
      </c>
      <c r="AA15" s="88">
        <v>124</v>
      </c>
      <c r="AB15" s="88">
        <v>611</v>
      </c>
      <c r="AC15" s="88">
        <v>191</v>
      </c>
      <c r="AD15" s="88">
        <f t="shared" si="0"/>
        <v>3016</v>
      </c>
      <c r="AE15" s="93">
        <v>3942</v>
      </c>
      <c r="AF15" s="88">
        <v>129</v>
      </c>
      <c r="AG15" s="88">
        <v>17</v>
      </c>
      <c r="AH15" s="88">
        <v>166</v>
      </c>
      <c r="AI15" s="88">
        <v>7661</v>
      </c>
      <c r="AJ15" s="93">
        <v>7973</v>
      </c>
      <c r="AK15" s="88">
        <v>3607</v>
      </c>
      <c r="AL15" s="88">
        <v>867</v>
      </c>
      <c r="AM15" s="88">
        <v>-296</v>
      </c>
      <c r="AN15" s="88">
        <v>1845</v>
      </c>
      <c r="AO15" s="93">
        <v>6023</v>
      </c>
      <c r="AP15" s="88">
        <v>254</v>
      </c>
      <c r="AQ15" s="88">
        <v>11758</v>
      </c>
      <c r="AR15" s="88">
        <v>213</v>
      </c>
      <c r="AS15" s="88">
        <v>-1391</v>
      </c>
      <c r="AT15" s="93">
        <v>10834</v>
      </c>
      <c r="AU15" s="101">
        <v>13541</v>
      </c>
      <c r="AV15" s="88">
        <v>-1833</v>
      </c>
      <c r="AW15" s="88">
        <v>-3453</v>
      </c>
      <c r="AX15" s="88">
        <v>-2301</v>
      </c>
      <c r="AY15" s="88">
        <v>-2463</v>
      </c>
      <c r="AZ15" s="93">
        <v>-10050</v>
      </c>
      <c r="BA15" s="372">
        <v>-1833</v>
      </c>
      <c r="BB15" s="88">
        <v>-3453</v>
      </c>
      <c r="BC15" s="88">
        <v>-2301</v>
      </c>
      <c r="BD15" s="88">
        <v>-4249</v>
      </c>
      <c r="BE15" s="88">
        <v>-4249</v>
      </c>
      <c r="BF15" s="88">
        <v>-11836</v>
      </c>
      <c r="BG15" s="88">
        <v>-11836</v>
      </c>
      <c r="BH15" s="88">
        <v>557</v>
      </c>
      <c r="BI15" s="88">
        <v>2699</v>
      </c>
      <c r="BJ15" s="88">
        <v>2699</v>
      </c>
      <c r="BK15" s="88">
        <v>5158</v>
      </c>
      <c r="BL15" s="88">
        <v>5158</v>
      </c>
      <c r="BM15" s="88">
        <v>6701</v>
      </c>
      <c r="BN15" s="88">
        <v>15115</v>
      </c>
      <c r="BO15" s="88">
        <v>1408</v>
      </c>
      <c r="BP15" s="88">
        <v>1762</v>
      </c>
      <c r="BQ15" s="88">
        <v>4496</v>
      </c>
      <c r="BR15" s="542">
        <v>-1703</v>
      </c>
      <c r="BS15" s="88">
        <v>5963</v>
      </c>
    </row>
    <row r="16" spans="1:71" ht="12.75">
      <c r="A16" s="111" t="s">
        <v>150</v>
      </c>
      <c r="B16" s="106"/>
      <c r="C16" s="106"/>
      <c r="D16" s="106"/>
      <c r="E16" s="106"/>
      <c r="F16" s="106"/>
      <c r="G16" s="106"/>
      <c r="H16" s="106"/>
      <c r="I16" s="106"/>
      <c r="J16" s="106"/>
      <c r="K16" s="106"/>
      <c r="L16" s="106"/>
      <c r="M16" s="106"/>
      <c r="N16" s="106"/>
      <c r="O16" s="106"/>
      <c r="P16" s="106"/>
      <c r="Q16" s="106"/>
      <c r="R16" s="88">
        <v>278</v>
      </c>
      <c r="S16" s="88">
        <v>-488</v>
      </c>
      <c r="T16" s="88">
        <v>-2079</v>
      </c>
      <c r="U16" s="93">
        <v>-2289</v>
      </c>
      <c r="V16" s="88">
        <v>329</v>
      </c>
      <c r="W16" s="88">
        <v>-869</v>
      </c>
      <c r="X16" s="88">
        <v>1839</v>
      </c>
      <c r="Y16" s="88">
        <v>-1393</v>
      </c>
      <c r="Z16" s="93">
        <v>-94</v>
      </c>
      <c r="AA16" s="88">
        <v>361</v>
      </c>
      <c r="AB16" s="88">
        <v>1840</v>
      </c>
      <c r="AC16" s="88">
        <v>-1750</v>
      </c>
      <c r="AD16" s="88">
        <f t="shared" si="0"/>
        <v>71</v>
      </c>
      <c r="AE16" s="93">
        <v>522</v>
      </c>
      <c r="AF16" s="88">
        <v>-706</v>
      </c>
      <c r="AG16" s="88">
        <v>-585</v>
      </c>
      <c r="AH16" s="88">
        <v>-2613</v>
      </c>
      <c r="AI16" s="88">
        <v>2643</v>
      </c>
      <c r="AJ16" s="93">
        <v>-1261</v>
      </c>
      <c r="AK16" s="88">
        <v>-948</v>
      </c>
      <c r="AL16" s="88">
        <v>-1729</v>
      </c>
      <c r="AM16" s="88">
        <v>2861</v>
      </c>
      <c r="AN16" s="88">
        <v>-2856</v>
      </c>
      <c r="AO16" s="93">
        <v>-2672</v>
      </c>
      <c r="AP16" s="88">
        <v>-1605</v>
      </c>
      <c r="AQ16" s="88">
        <v>-3103</v>
      </c>
      <c r="AR16" s="88">
        <v>5546</v>
      </c>
      <c r="AS16" s="88">
        <v>7413</v>
      </c>
      <c r="AT16" s="93">
        <v>8251</v>
      </c>
      <c r="AU16" s="101">
        <v>7927</v>
      </c>
      <c r="AV16" s="88">
        <v>3706</v>
      </c>
      <c r="AW16" s="88">
        <v>-349</v>
      </c>
      <c r="AX16" s="88">
        <v>-14585</v>
      </c>
      <c r="AY16" s="88">
        <v>11859</v>
      </c>
      <c r="AZ16" s="93">
        <v>631</v>
      </c>
      <c r="BA16" s="372">
        <v>3706</v>
      </c>
      <c r="BB16" s="88">
        <v>-349</v>
      </c>
      <c r="BC16" s="88">
        <v>-14585</v>
      </c>
      <c r="BD16" s="88">
        <v>11791</v>
      </c>
      <c r="BE16" s="88">
        <v>11791</v>
      </c>
      <c r="BF16" s="88">
        <v>563</v>
      </c>
      <c r="BG16" s="88">
        <v>563</v>
      </c>
      <c r="BH16" s="88">
        <v>-2354</v>
      </c>
      <c r="BI16" s="88">
        <v>2538</v>
      </c>
      <c r="BJ16" s="88">
        <v>2538</v>
      </c>
      <c r="BK16" s="88">
        <v>4535</v>
      </c>
      <c r="BL16" s="88">
        <v>4535</v>
      </c>
      <c r="BM16" s="88">
        <v>-189</v>
      </c>
      <c r="BN16" s="88">
        <v>4530</v>
      </c>
      <c r="BO16" s="88">
        <v>335</v>
      </c>
      <c r="BP16" s="88">
        <v>-436</v>
      </c>
      <c r="BQ16" s="88">
        <v>-2275</v>
      </c>
      <c r="BR16" s="542">
        <v>1040</v>
      </c>
      <c r="BS16" s="88">
        <v>-1336</v>
      </c>
    </row>
    <row r="17" spans="1:71" ht="12.75">
      <c r="A17" s="110" t="s">
        <v>151</v>
      </c>
      <c r="B17" s="106"/>
      <c r="C17" s="106"/>
      <c r="D17" s="106"/>
      <c r="E17" s="106"/>
      <c r="F17" s="93">
        <v>-7325</v>
      </c>
      <c r="G17" s="106"/>
      <c r="H17" s="106"/>
      <c r="I17" s="106"/>
      <c r="J17" s="106"/>
      <c r="K17" s="93">
        <v>-729</v>
      </c>
      <c r="L17" s="88"/>
      <c r="M17" s="88">
        <v>225</v>
      </c>
      <c r="N17" s="88">
        <v>-11083</v>
      </c>
      <c r="O17" s="88">
        <v>981</v>
      </c>
      <c r="P17" s="93">
        <v>-9877</v>
      </c>
      <c r="Q17" s="88"/>
      <c r="R17" s="88"/>
      <c r="S17" s="88"/>
      <c r="T17" s="88"/>
      <c r="U17" s="93"/>
      <c r="V17" s="88"/>
      <c r="W17" s="88"/>
      <c r="X17" s="88"/>
      <c r="Y17" s="88">
        <v>0</v>
      </c>
      <c r="Z17" s="93">
        <v>0</v>
      </c>
      <c r="AA17" s="88">
        <v>-81082</v>
      </c>
      <c r="AB17" s="88">
        <v>-1482</v>
      </c>
      <c r="AC17" s="88"/>
      <c r="AD17" s="88">
        <f t="shared" si="0"/>
        <v>-3752</v>
      </c>
      <c r="AE17" s="93">
        <v>-86316</v>
      </c>
      <c r="AF17" s="88" t="s">
        <v>294</v>
      </c>
      <c r="AG17" s="88">
        <v>0</v>
      </c>
      <c r="AH17" s="88">
        <v>-17413</v>
      </c>
      <c r="AI17" s="88">
        <v>-26910</v>
      </c>
      <c r="AJ17" s="93">
        <v>-44323</v>
      </c>
      <c r="AK17" s="88">
        <v>-360</v>
      </c>
      <c r="AL17" s="88">
        <v>0</v>
      </c>
      <c r="AM17" s="88">
        <v>-12</v>
      </c>
      <c r="AN17" s="88">
        <v>-815</v>
      </c>
      <c r="AO17" s="93">
        <v>-7587</v>
      </c>
      <c r="AP17" s="88">
        <v>-14000</v>
      </c>
      <c r="AQ17" s="88">
        <v>-14156</v>
      </c>
      <c r="AR17" s="168" t="s">
        <v>326</v>
      </c>
      <c r="AS17" s="88">
        <v>2599</v>
      </c>
      <c r="AT17" s="93">
        <v>-25557</v>
      </c>
      <c r="AU17" s="101">
        <v>-25665</v>
      </c>
      <c r="AV17" s="88">
        <v>0</v>
      </c>
      <c r="AW17" s="88"/>
      <c r="AX17" s="88">
        <v>-678</v>
      </c>
      <c r="AY17" s="88">
        <v>-79</v>
      </c>
      <c r="AZ17" s="93">
        <v>-757</v>
      </c>
      <c r="BA17" s="372"/>
      <c r="BB17" s="88"/>
      <c r="BC17" s="88">
        <v>-678</v>
      </c>
      <c r="BD17" s="88">
        <v>-78</v>
      </c>
      <c r="BE17" s="88">
        <v>-78</v>
      </c>
      <c r="BF17" s="88">
        <v>-756</v>
      </c>
      <c r="BG17" s="88">
        <v>-756</v>
      </c>
      <c r="BH17" s="88"/>
      <c r="BI17" s="88"/>
      <c r="BJ17" s="88"/>
      <c r="BK17" s="88">
        <v>0</v>
      </c>
      <c r="BL17" s="88">
        <v>0</v>
      </c>
      <c r="BM17" s="88"/>
      <c r="BN17" s="88"/>
      <c r="BO17" s="88"/>
      <c r="BP17" s="88"/>
      <c r="BQ17" s="88"/>
      <c r="BR17" s="542">
        <v>3450</v>
      </c>
      <c r="BS17" s="88">
        <v>3450</v>
      </c>
    </row>
    <row r="18" spans="1:71" ht="12.75">
      <c r="A18" s="110" t="s">
        <v>152</v>
      </c>
      <c r="B18" s="106"/>
      <c r="C18" s="106"/>
      <c r="D18" s="106"/>
      <c r="E18" s="106"/>
      <c r="F18" s="93">
        <v>10554</v>
      </c>
      <c r="G18" s="106"/>
      <c r="H18" s="106"/>
      <c r="I18" s="106"/>
      <c r="J18" s="106"/>
      <c r="K18" s="93">
        <v>9109</v>
      </c>
      <c r="L18" s="88">
        <v>2284</v>
      </c>
      <c r="M18" s="88">
        <v>2419</v>
      </c>
      <c r="N18" s="88">
        <v>2405</v>
      </c>
      <c r="O18" s="88">
        <v>2281</v>
      </c>
      <c r="P18" s="93">
        <v>9389</v>
      </c>
      <c r="Q18" s="88">
        <v>3471</v>
      </c>
      <c r="R18" s="88">
        <v>2843</v>
      </c>
      <c r="S18" s="88">
        <v>2298</v>
      </c>
      <c r="T18" s="88">
        <v>-65</v>
      </c>
      <c r="U18" s="93">
        <v>8547</v>
      </c>
      <c r="V18" s="88">
        <v>2539</v>
      </c>
      <c r="W18" s="88">
        <v>2625</v>
      </c>
      <c r="X18" s="88">
        <v>2892</v>
      </c>
      <c r="Y18" s="88">
        <v>3437</v>
      </c>
      <c r="Z18" s="93">
        <v>11493</v>
      </c>
      <c r="AA18" s="88">
        <v>1578</v>
      </c>
      <c r="AB18" s="88">
        <v>2121</v>
      </c>
      <c r="AC18" s="88">
        <v>1618</v>
      </c>
      <c r="AD18" s="88">
        <f t="shared" si="0"/>
        <v>152</v>
      </c>
      <c r="AE18" s="93">
        <v>5469</v>
      </c>
      <c r="AF18" s="88">
        <v>1432</v>
      </c>
      <c r="AG18" s="88">
        <v>2821</v>
      </c>
      <c r="AH18" s="88">
        <v>1992</v>
      </c>
      <c r="AI18" s="88">
        <v>461</v>
      </c>
      <c r="AJ18" s="93">
        <v>6706</v>
      </c>
      <c r="AK18" s="88">
        <v>2677</v>
      </c>
      <c r="AL18" s="88">
        <v>2273</v>
      </c>
      <c r="AM18" s="88">
        <v>3282</v>
      </c>
      <c r="AN18" s="88">
        <v>2816</v>
      </c>
      <c r="AO18" s="93">
        <v>11048</v>
      </c>
      <c r="AP18" s="88">
        <v>3218</v>
      </c>
      <c r="AQ18" s="88">
        <v>1386</v>
      </c>
      <c r="AR18" s="88">
        <v>1758</v>
      </c>
      <c r="AS18" s="88">
        <v>4189</v>
      </c>
      <c r="AT18" s="93">
        <v>10551</v>
      </c>
      <c r="AU18" s="101"/>
      <c r="AV18" s="88">
        <v>0</v>
      </c>
      <c r="AW18" s="88"/>
      <c r="AX18" s="88"/>
      <c r="AY18" s="88"/>
      <c r="AZ18" s="93"/>
      <c r="BA18" s="372"/>
      <c r="BB18" s="88"/>
      <c r="BC18" s="88"/>
      <c r="BD18" s="88"/>
      <c r="BE18" s="88"/>
      <c r="BF18" s="88"/>
      <c r="BG18" s="88"/>
      <c r="BH18" s="88"/>
      <c r="BI18" s="88"/>
      <c r="BJ18" s="88"/>
      <c r="BK18" s="88"/>
      <c r="BL18" s="88"/>
      <c r="BM18" s="88"/>
      <c r="BN18" s="88"/>
      <c r="BO18" s="88"/>
      <c r="BP18" s="88"/>
      <c r="BQ18" s="88"/>
      <c r="BR18" s="88"/>
      <c r="BS18" s="88"/>
    </row>
    <row r="19" spans="1:71" ht="12.75">
      <c r="A19" s="110" t="s">
        <v>153</v>
      </c>
      <c r="B19" s="106"/>
      <c r="C19" s="106"/>
      <c r="D19" s="106"/>
      <c r="E19" s="106"/>
      <c r="F19" s="106"/>
      <c r="G19" s="106"/>
      <c r="H19" s="106"/>
      <c r="I19" s="106"/>
      <c r="J19" s="106"/>
      <c r="K19" s="106"/>
      <c r="L19" s="106"/>
      <c r="M19" s="106"/>
      <c r="N19" s="106"/>
      <c r="O19" s="106"/>
      <c r="P19" s="106"/>
      <c r="Q19" s="88">
        <v>175</v>
      </c>
      <c r="R19" s="88">
        <v>175</v>
      </c>
      <c r="S19" s="88">
        <v>259</v>
      </c>
      <c r="T19" s="88">
        <v>72</v>
      </c>
      <c r="U19" s="93">
        <v>681</v>
      </c>
      <c r="V19" s="88">
        <v>-138</v>
      </c>
      <c r="W19" s="88">
        <v>-1519</v>
      </c>
      <c r="X19" s="88">
        <v>505</v>
      </c>
      <c r="Y19" s="88">
        <v>2729</v>
      </c>
      <c r="Z19" s="93">
        <v>1577</v>
      </c>
      <c r="AA19" s="88">
        <v>-1062</v>
      </c>
      <c r="AB19" s="88">
        <v>107</v>
      </c>
      <c r="AC19" s="88">
        <v>358</v>
      </c>
      <c r="AD19" s="88">
        <f t="shared" si="0"/>
        <v>108</v>
      </c>
      <c r="AE19" s="93">
        <v>-489</v>
      </c>
      <c r="AF19" s="88">
        <v>107</v>
      </c>
      <c r="AG19" s="88">
        <v>108</v>
      </c>
      <c r="AH19" s="88">
        <v>88</v>
      </c>
      <c r="AI19" s="88">
        <v>50</v>
      </c>
      <c r="AJ19" s="93">
        <v>353</v>
      </c>
      <c r="AK19" s="88">
        <v>50</v>
      </c>
      <c r="AL19" s="88">
        <v>50</v>
      </c>
      <c r="AM19" s="88">
        <v>32</v>
      </c>
      <c r="AN19" s="168" t="s">
        <v>326</v>
      </c>
      <c r="AO19" s="93">
        <v>132</v>
      </c>
      <c r="AP19" s="168" t="s">
        <v>296</v>
      </c>
      <c r="AQ19" s="168" t="s">
        <v>296</v>
      </c>
      <c r="AR19" s="168" t="s">
        <v>326</v>
      </c>
      <c r="AS19" s="88"/>
      <c r="AT19" s="93"/>
      <c r="AU19" s="101"/>
      <c r="AV19" s="168"/>
      <c r="AW19" s="168"/>
      <c r="AX19" s="168"/>
      <c r="AY19" s="168"/>
      <c r="AZ19" s="93"/>
      <c r="BA19" s="374"/>
      <c r="BB19" s="168"/>
      <c r="BC19" s="168"/>
      <c r="BD19" s="168"/>
      <c r="BE19" s="168"/>
      <c r="BF19" s="168"/>
      <c r="BG19" s="168"/>
      <c r="BH19" s="168"/>
      <c r="BI19" s="168"/>
      <c r="BJ19" s="168"/>
      <c r="BK19" s="168"/>
      <c r="BL19" s="168"/>
      <c r="BM19" s="168"/>
      <c r="BN19" s="168"/>
      <c r="BO19" s="168"/>
      <c r="BP19" s="168"/>
      <c r="BQ19" s="168"/>
      <c r="BR19" s="168"/>
      <c r="BS19" s="168"/>
    </row>
    <row r="20" spans="1:71" ht="12.75">
      <c r="A20" s="110" t="s">
        <v>282</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88">
        <v>-4966</v>
      </c>
      <c r="AG20" s="88">
        <v>-4841</v>
      </c>
      <c r="AH20" s="88">
        <v>-1819</v>
      </c>
      <c r="AI20" s="88">
        <v>-1744</v>
      </c>
      <c r="AJ20" s="93">
        <v>-13370</v>
      </c>
      <c r="AK20" s="88">
        <v>-3412</v>
      </c>
      <c r="AL20" s="88">
        <v>-4364</v>
      </c>
      <c r="AM20" s="88">
        <v>-4974</v>
      </c>
      <c r="AN20" s="88">
        <v>-6555</v>
      </c>
      <c r="AO20" s="93">
        <v>-19305</v>
      </c>
      <c r="AP20" s="88">
        <v>-1971</v>
      </c>
      <c r="AQ20" s="88">
        <v>-2469</v>
      </c>
      <c r="AR20" s="88">
        <v>-4153</v>
      </c>
      <c r="AS20" s="88">
        <v>-2533</v>
      </c>
      <c r="AT20" s="93">
        <v>-11126</v>
      </c>
      <c r="AU20" s="101">
        <v>-10534</v>
      </c>
      <c r="AV20" s="88">
        <v>-1195</v>
      </c>
      <c r="AW20" s="88">
        <v>-1548</v>
      </c>
      <c r="AX20" s="88">
        <v>-2145</v>
      </c>
      <c r="AY20" s="88">
        <v>-2533</v>
      </c>
      <c r="AZ20" s="93">
        <v>-7421</v>
      </c>
      <c r="BA20" s="372">
        <v>-1195</v>
      </c>
      <c r="BB20" s="88">
        <v>-1548</v>
      </c>
      <c r="BC20" s="88">
        <v>-2145</v>
      </c>
      <c r="BD20" s="88">
        <v>-2549</v>
      </c>
      <c r="BE20" s="88">
        <v>-2549</v>
      </c>
      <c r="BF20" s="88">
        <v>-7437</v>
      </c>
      <c r="BG20" s="88">
        <v>-7437</v>
      </c>
      <c r="BH20" s="88">
        <v>-1687</v>
      </c>
      <c r="BI20" s="88">
        <v>-2508</v>
      </c>
      <c r="BJ20" s="88">
        <v>-2508</v>
      </c>
      <c r="BK20" s="88">
        <v>-2633</v>
      </c>
      <c r="BL20" s="88">
        <v>-2633</v>
      </c>
      <c r="BM20" s="88">
        <v>-2561</v>
      </c>
      <c r="BN20" s="88">
        <v>-9389</v>
      </c>
      <c r="BO20" s="88">
        <v>-1492</v>
      </c>
      <c r="BP20" s="88">
        <v>-1534</v>
      </c>
      <c r="BQ20" s="88">
        <v>-1439</v>
      </c>
      <c r="BR20" s="542">
        <v>-2360</v>
      </c>
      <c r="BS20" s="88">
        <v>-6825</v>
      </c>
    </row>
    <row r="21" spans="1:71" ht="12.75">
      <c r="A21" s="110" t="s">
        <v>99</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88">
        <v>3270</v>
      </c>
      <c r="AG21" s="88">
        <v>3364</v>
      </c>
      <c r="AH21" s="88">
        <v>3434</v>
      </c>
      <c r="AI21" s="88">
        <v>6878</v>
      </c>
      <c r="AJ21" s="93">
        <v>16946</v>
      </c>
      <c r="AK21" s="88">
        <v>9995</v>
      </c>
      <c r="AL21" s="88">
        <v>10038</v>
      </c>
      <c r="AM21" s="88">
        <v>11251</v>
      </c>
      <c r="AN21" s="88">
        <v>6611</v>
      </c>
      <c r="AO21" s="93">
        <v>37895</v>
      </c>
      <c r="AP21" s="88">
        <v>6304</v>
      </c>
      <c r="AQ21" s="88">
        <v>5784</v>
      </c>
      <c r="AR21" s="88">
        <v>4743</v>
      </c>
      <c r="AS21" s="88">
        <v>6175</v>
      </c>
      <c r="AT21" s="93">
        <v>23006</v>
      </c>
      <c r="AU21" s="101">
        <v>23290</v>
      </c>
      <c r="AV21" s="88">
        <v>4656</v>
      </c>
      <c r="AW21" s="88">
        <v>8341</v>
      </c>
      <c r="AX21" s="88">
        <v>13114</v>
      </c>
      <c r="AY21" s="88">
        <v>8466</v>
      </c>
      <c r="AZ21" s="93">
        <v>34577</v>
      </c>
      <c r="BA21" s="372">
        <v>4656</v>
      </c>
      <c r="BB21" s="88">
        <v>8341</v>
      </c>
      <c r="BC21" s="88">
        <v>13114</v>
      </c>
      <c r="BD21" s="88">
        <v>8425</v>
      </c>
      <c r="BE21" s="88">
        <v>8425</v>
      </c>
      <c r="BF21" s="88">
        <v>34536</v>
      </c>
      <c r="BG21" s="88">
        <v>34536</v>
      </c>
      <c r="BH21" s="88">
        <v>9102</v>
      </c>
      <c r="BI21" s="88">
        <v>10127</v>
      </c>
      <c r="BJ21" s="88">
        <v>10127</v>
      </c>
      <c r="BK21" s="88">
        <v>9094</v>
      </c>
      <c r="BL21" s="88">
        <v>9094</v>
      </c>
      <c r="BM21" s="88">
        <v>12848</v>
      </c>
      <c r="BN21" s="88">
        <v>41171</v>
      </c>
      <c r="BO21" s="88">
        <v>10791</v>
      </c>
      <c r="BP21" s="88">
        <v>11862</v>
      </c>
      <c r="BQ21" s="88">
        <v>10455</v>
      </c>
      <c r="BR21" s="542">
        <v>13010</v>
      </c>
      <c r="BS21" s="88">
        <v>46118</v>
      </c>
    </row>
    <row r="22" spans="1:71" ht="25.5">
      <c r="A22" s="110" t="s">
        <v>283</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88" t="s">
        <v>294</v>
      </c>
      <c r="AG22" s="88">
        <v>-1940</v>
      </c>
      <c r="AH22" s="88">
        <v>-2265</v>
      </c>
      <c r="AI22" s="88">
        <v>-3430</v>
      </c>
      <c r="AJ22" s="93">
        <v>-7635</v>
      </c>
      <c r="AK22" s="88">
        <v>-3560</v>
      </c>
      <c r="AL22" s="88">
        <v>-49596</v>
      </c>
      <c r="AM22" s="88">
        <v>31400</v>
      </c>
      <c r="AN22" s="88">
        <v>41592</v>
      </c>
      <c r="AO22" s="93">
        <v>19836</v>
      </c>
      <c r="AP22" s="88">
        <v>139339</v>
      </c>
      <c r="AQ22" s="88">
        <v>-115394</v>
      </c>
      <c r="AR22" s="88">
        <v>-23599</v>
      </c>
      <c r="AS22" s="88">
        <v>4059</v>
      </c>
      <c r="AT22" s="93">
        <v>4405</v>
      </c>
      <c r="AU22" s="101">
        <v>3216</v>
      </c>
      <c r="AV22" s="88">
        <v>17301</v>
      </c>
      <c r="AW22" s="88">
        <v>75775</v>
      </c>
      <c r="AX22" s="88">
        <v>-56884</v>
      </c>
      <c r="AY22" s="88">
        <v>10419</v>
      </c>
      <c r="AZ22" s="93">
        <v>46611</v>
      </c>
      <c r="BA22" s="372">
        <v>17301</v>
      </c>
      <c r="BB22" s="88">
        <v>75775</v>
      </c>
      <c r="BC22" s="88">
        <v>-56884</v>
      </c>
      <c r="BD22" s="88">
        <v>10530</v>
      </c>
      <c r="BE22" s="88">
        <v>10530</v>
      </c>
      <c r="BF22" s="88">
        <v>46722</v>
      </c>
      <c r="BG22" s="88">
        <v>46722</v>
      </c>
      <c r="BH22" s="88">
        <v>-39193</v>
      </c>
      <c r="BI22" s="88">
        <v>-5530</v>
      </c>
      <c r="BJ22" s="88">
        <v>-5530</v>
      </c>
      <c r="BK22" s="88">
        <v>-10334</v>
      </c>
      <c r="BL22" s="88">
        <v>-10334</v>
      </c>
      <c r="BM22" s="88">
        <v>-585</v>
      </c>
      <c r="BN22" s="88">
        <v>-55642</v>
      </c>
      <c r="BO22" s="88">
        <v>-842</v>
      </c>
      <c r="BP22" s="88">
        <v>2658</v>
      </c>
      <c r="BQ22" s="88">
        <v>1736</v>
      </c>
      <c r="BR22" s="542">
        <v>1054</v>
      </c>
      <c r="BS22" s="88">
        <v>4606</v>
      </c>
    </row>
    <row r="23" spans="1:71" ht="12.75">
      <c r="A23" s="110" t="s">
        <v>102</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88">
        <v>-542</v>
      </c>
      <c r="AG23" s="88">
        <v>37335</v>
      </c>
      <c r="AH23" s="88">
        <v>-7160</v>
      </c>
      <c r="AI23" s="88">
        <v>-16667</v>
      </c>
      <c r="AJ23" s="93">
        <v>12966</v>
      </c>
      <c r="AK23" s="88">
        <v>-5737</v>
      </c>
      <c r="AL23" s="88">
        <v>-2424</v>
      </c>
      <c r="AM23" s="88">
        <v>-22590</v>
      </c>
      <c r="AN23" s="88">
        <v>-33798</v>
      </c>
      <c r="AO23" s="93">
        <v>-64549</v>
      </c>
      <c r="AP23" s="168" t="s">
        <v>296</v>
      </c>
      <c r="AQ23" s="168" t="s">
        <v>296</v>
      </c>
      <c r="AR23" s="88">
        <v>10994</v>
      </c>
      <c r="AS23" s="88">
        <v>8704</v>
      </c>
      <c r="AT23" s="93">
        <v>19698</v>
      </c>
      <c r="AU23" s="101">
        <v>19698</v>
      </c>
      <c r="AV23" s="168">
        <v>4059</v>
      </c>
      <c r="AW23" s="168">
        <v>-3721</v>
      </c>
      <c r="AX23" s="168">
        <v>5241</v>
      </c>
      <c r="AY23" s="168">
        <v>-198</v>
      </c>
      <c r="AZ23" s="93">
        <v>5381</v>
      </c>
      <c r="BA23" s="374">
        <v>4059</v>
      </c>
      <c r="BB23" s="168">
        <v>-3721</v>
      </c>
      <c r="BC23" s="168">
        <v>5241</v>
      </c>
      <c r="BD23" s="168">
        <v>-198</v>
      </c>
      <c r="BE23" s="168">
        <v>-198</v>
      </c>
      <c r="BF23" s="168">
        <v>5381</v>
      </c>
      <c r="BG23" s="168">
        <v>5381</v>
      </c>
      <c r="BH23" s="168">
        <v>9742</v>
      </c>
      <c r="BI23" s="168">
        <v>-14788</v>
      </c>
      <c r="BJ23" s="168">
        <v>-14788</v>
      </c>
      <c r="BK23" s="168">
        <v>-20034</v>
      </c>
      <c r="BL23" s="168">
        <v>-20034</v>
      </c>
      <c r="BM23" s="168">
        <v>14532</v>
      </c>
      <c r="BN23" s="168">
        <v>-10548</v>
      </c>
      <c r="BO23" s="168">
        <v>-7680</v>
      </c>
      <c r="BP23" s="168">
        <v>5784</v>
      </c>
      <c r="BQ23" s="168">
        <v>518</v>
      </c>
      <c r="BR23" s="543">
        <v>-10386</v>
      </c>
      <c r="BS23" s="168">
        <v>-11764</v>
      </c>
    </row>
    <row r="24" spans="1:71" ht="12.75">
      <c r="A24" s="110" t="s">
        <v>284</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88">
        <v>-450</v>
      </c>
      <c r="AG24" s="88">
        <v>-807</v>
      </c>
      <c r="AH24" s="88">
        <v>2288</v>
      </c>
      <c r="AI24" s="88">
        <v>1856</v>
      </c>
      <c r="AJ24" s="93">
        <v>2887</v>
      </c>
      <c r="AK24" s="88">
        <v>247</v>
      </c>
      <c r="AL24" s="88">
        <v>6905</v>
      </c>
      <c r="AM24" s="88">
        <v>25057</v>
      </c>
      <c r="AN24" s="88">
        <v>3673</v>
      </c>
      <c r="AO24" s="93">
        <v>35882</v>
      </c>
      <c r="AP24" s="88">
        <v>1493</v>
      </c>
      <c r="AQ24" s="88">
        <v>6535</v>
      </c>
      <c r="AR24" s="88">
        <v>-11327</v>
      </c>
      <c r="AS24" s="88">
        <v>14982</v>
      </c>
      <c r="AT24" s="93">
        <v>11683</v>
      </c>
      <c r="AU24" s="101">
        <v>12041</v>
      </c>
      <c r="AV24" s="88">
        <v>-5733</v>
      </c>
      <c r="AW24" s="88">
        <v>-5430</v>
      </c>
      <c r="AX24" s="88">
        <v>-4552</v>
      </c>
      <c r="AY24" s="88">
        <v>3734</v>
      </c>
      <c r="AZ24" s="93">
        <v>-11981</v>
      </c>
      <c r="BA24" s="372">
        <v>-5733</v>
      </c>
      <c r="BB24" s="88">
        <v>-5430</v>
      </c>
      <c r="BC24" s="88">
        <v>-4552</v>
      </c>
      <c r="BD24" s="88">
        <v>-650</v>
      </c>
      <c r="BE24" s="88">
        <v>953</v>
      </c>
      <c r="BF24" s="88">
        <v>-16365</v>
      </c>
      <c r="BG24" s="88">
        <v>-9945</v>
      </c>
      <c r="BH24" s="88">
        <v>-9366</v>
      </c>
      <c r="BI24" s="88">
        <v>20004</v>
      </c>
      <c r="BJ24" s="88">
        <v>21195</v>
      </c>
      <c r="BK24" s="88">
        <v>38616</v>
      </c>
      <c r="BL24" s="88">
        <v>40355</v>
      </c>
      <c r="BM24" s="88">
        <v>23467</v>
      </c>
      <c r="BN24" s="88">
        <v>75651</v>
      </c>
      <c r="BO24" s="88">
        <v>767</v>
      </c>
      <c r="BP24" s="88">
        <v>-3577</v>
      </c>
      <c r="BQ24" s="88">
        <v>-10058</v>
      </c>
      <c r="BR24" s="542">
        <v>13993</v>
      </c>
      <c r="BS24" s="88">
        <v>1125</v>
      </c>
    </row>
    <row r="25" spans="1:71" ht="12.75">
      <c r="A25" s="110" t="s">
        <v>285</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88">
        <v>-1077</v>
      </c>
      <c r="AG25" s="88">
        <v>-762</v>
      </c>
      <c r="AH25" s="88">
        <v>-2935</v>
      </c>
      <c r="AI25" s="88">
        <v>-544</v>
      </c>
      <c r="AJ25" s="93">
        <v>-5318</v>
      </c>
      <c r="AK25" s="88">
        <v>-4682</v>
      </c>
      <c r="AL25" s="88">
        <v>-1417</v>
      </c>
      <c r="AM25" s="88">
        <v>4881</v>
      </c>
      <c r="AN25" s="88">
        <v>26428</v>
      </c>
      <c r="AO25" s="93">
        <v>25210</v>
      </c>
      <c r="AP25" s="88">
        <v>12361</v>
      </c>
      <c r="AQ25" s="88">
        <v>-18831</v>
      </c>
      <c r="AR25" s="88">
        <v>-429</v>
      </c>
      <c r="AS25" s="88">
        <v>8575</v>
      </c>
      <c r="AT25" s="93">
        <v>1676</v>
      </c>
      <c r="AU25" s="101">
        <v>1664</v>
      </c>
      <c r="AV25" s="88">
        <v>-2825</v>
      </c>
      <c r="AW25" s="88">
        <v>-1710</v>
      </c>
      <c r="AX25" s="88">
        <v>-4613</v>
      </c>
      <c r="AY25" s="88">
        <v>-3277</v>
      </c>
      <c r="AZ25" s="93">
        <v>-12425</v>
      </c>
      <c r="BA25" s="372">
        <v>-2825</v>
      </c>
      <c r="BB25" s="88">
        <v>-1710</v>
      </c>
      <c r="BC25" s="88">
        <v>-4613</v>
      </c>
      <c r="BD25" s="88">
        <v>-2865</v>
      </c>
      <c r="BE25" s="88">
        <v>-2865</v>
      </c>
      <c r="BF25" s="88">
        <v>-12013</v>
      </c>
      <c r="BG25" s="88">
        <v>-12013</v>
      </c>
      <c r="BH25" s="88">
        <v>-2945</v>
      </c>
      <c r="BI25" s="88">
        <v>-2863</v>
      </c>
      <c r="BJ25" s="88">
        <v>-2863</v>
      </c>
      <c r="BK25" s="88">
        <v>-4666</v>
      </c>
      <c r="BL25" s="88">
        <v>-4666</v>
      </c>
      <c r="BM25" s="88">
        <v>-9592</v>
      </c>
      <c r="BN25" s="88">
        <v>-20066</v>
      </c>
      <c r="BO25" s="88">
        <v>-11315</v>
      </c>
      <c r="BP25" s="88">
        <v>-6706</v>
      </c>
      <c r="BQ25" s="88">
        <v>-8330</v>
      </c>
      <c r="BR25" s="542">
        <v>-6557</v>
      </c>
      <c r="BS25" s="88">
        <v>-32908</v>
      </c>
    </row>
    <row r="26" spans="1:71" ht="12" customHeight="1">
      <c r="A26" s="110" t="s">
        <v>154</v>
      </c>
      <c r="B26" s="106"/>
      <c r="C26" s="106"/>
      <c r="D26" s="106"/>
      <c r="E26" s="106"/>
      <c r="F26" s="93">
        <v>-1082</v>
      </c>
      <c r="G26" s="106"/>
      <c r="H26" s="106"/>
      <c r="I26" s="106"/>
      <c r="J26" s="106"/>
      <c r="K26" s="93">
        <v>-9</v>
      </c>
      <c r="L26" s="88">
        <v>153</v>
      </c>
      <c r="M26" s="88">
        <v>-1711</v>
      </c>
      <c r="N26" s="88">
        <v>11</v>
      </c>
      <c r="O26" s="88">
        <v>-228</v>
      </c>
      <c r="P26" s="93">
        <v>-1775</v>
      </c>
      <c r="Q26" s="88">
        <v>316</v>
      </c>
      <c r="R26" s="88">
        <v>-597</v>
      </c>
      <c r="S26" s="88">
        <v>-235</v>
      </c>
      <c r="T26" s="88">
        <v>-43</v>
      </c>
      <c r="U26" s="93">
        <v>-559</v>
      </c>
      <c r="V26" s="88">
        <v>-47</v>
      </c>
      <c r="W26" s="88">
        <v>-402</v>
      </c>
      <c r="X26" s="88">
        <v>-218</v>
      </c>
      <c r="Y26" s="88">
        <v>-85</v>
      </c>
      <c r="Z26" s="93">
        <v>-752</v>
      </c>
      <c r="AA26" s="88">
        <v>-13</v>
      </c>
      <c r="AB26" s="88">
        <v>1195</v>
      </c>
      <c r="AC26" s="88">
        <v>1064</v>
      </c>
      <c r="AD26" s="88">
        <f t="shared" si="0"/>
        <v>1151</v>
      </c>
      <c r="AE26" s="93">
        <v>3397</v>
      </c>
      <c r="AF26" s="88">
        <v>609</v>
      </c>
      <c r="AG26" s="88">
        <v>935</v>
      </c>
      <c r="AH26" s="88">
        <v>566</v>
      </c>
      <c r="AI26" s="88">
        <v>566</v>
      </c>
      <c r="AJ26" s="93">
        <v>2676</v>
      </c>
      <c r="AK26" s="88">
        <v>475</v>
      </c>
      <c r="AL26" s="88">
        <v>393</v>
      </c>
      <c r="AM26" s="88">
        <v>467</v>
      </c>
      <c r="AN26" s="88">
        <v>1476</v>
      </c>
      <c r="AO26" s="93">
        <v>2811</v>
      </c>
      <c r="AP26" s="88">
        <v>-75</v>
      </c>
      <c r="AQ26" s="88">
        <v>759</v>
      </c>
      <c r="AR26" s="88">
        <v>947</v>
      </c>
      <c r="AS26" s="88">
        <v>2578</v>
      </c>
      <c r="AT26" s="93">
        <v>4209</v>
      </c>
      <c r="AU26" s="101">
        <v>3336</v>
      </c>
      <c r="AV26" s="88">
        <v>669</v>
      </c>
      <c r="AW26" s="88">
        <v>831</v>
      </c>
      <c r="AX26" s="88">
        <v>1825</v>
      </c>
      <c r="AY26" s="88">
        <v>891</v>
      </c>
      <c r="AZ26" s="93">
        <v>4216</v>
      </c>
      <c r="BA26" s="372">
        <v>669</v>
      </c>
      <c r="BB26" s="88">
        <v>832</v>
      </c>
      <c r="BC26" s="88">
        <v>1826</v>
      </c>
      <c r="BD26" s="88">
        <v>891</v>
      </c>
      <c r="BE26" s="88">
        <v>444</v>
      </c>
      <c r="BF26" s="88">
        <v>4216</v>
      </c>
      <c r="BG26" s="88">
        <v>1278</v>
      </c>
      <c r="BH26" s="88">
        <v>-1717</v>
      </c>
      <c r="BI26" s="88">
        <v>1063</v>
      </c>
      <c r="BJ26" s="88">
        <v>1148</v>
      </c>
      <c r="BK26" s="88">
        <v>39</v>
      </c>
      <c r="BL26" s="88">
        <v>-645</v>
      </c>
      <c r="BM26" s="88">
        <v>6753</v>
      </c>
      <c r="BN26" s="88">
        <v>5539</v>
      </c>
      <c r="BO26" s="88">
        <v>980</v>
      </c>
      <c r="BP26" s="88">
        <v>2528</v>
      </c>
      <c r="BQ26" s="88">
        <v>444</v>
      </c>
      <c r="BR26" s="542">
        <v>8266</v>
      </c>
      <c r="BS26" s="88">
        <v>12218</v>
      </c>
    </row>
    <row r="27" spans="1:71" ht="12.75">
      <c r="A27" s="112" t="s">
        <v>155</v>
      </c>
      <c r="B27" s="106"/>
      <c r="C27" s="106"/>
      <c r="D27" s="106"/>
      <c r="E27" s="106"/>
      <c r="F27" s="97">
        <v>85588</v>
      </c>
      <c r="G27" s="108"/>
      <c r="H27" s="108"/>
      <c r="I27" s="108"/>
      <c r="J27" s="108"/>
      <c r="K27" s="97">
        <v>150625</v>
      </c>
      <c r="L27" s="96">
        <v>49392</v>
      </c>
      <c r="M27" s="96">
        <v>28217</v>
      </c>
      <c r="N27" s="96">
        <v>52364</v>
      </c>
      <c r="O27" s="96">
        <v>50432</v>
      </c>
      <c r="P27" s="97">
        <v>180405</v>
      </c>
      <c r="Q27" s="96">
        <v>87140</v>
      </c>
      <c r="R27" s="96">
        <v>69044</v>
      </c>
      <c r="S27" s="96">
        <v>106930</v>
      </c>
      <c r="T27" s="96">
        <v>122570</v>
      </c>
      <c r="U27" s="97">
        <v>385684</v>
      </c>
      <c r="V27" s="96">
        <v>120543</v>
      </c>
      <c r="W27" s="96">
        <v>73586</v>
      </c>
      <c r="X27" s="96">
        <v>101283</v>
      </c>
      <c r="Y27" s="96">
        <v>101764</v>
      </c>
      <c r="Z27" s="97">
        <v>397176</v>
      </c>
      <c r="AA27" s="96">
        <v>104972</v>
      </c>
      <c r="AB27" s="96">
        <v>139008</v>
      </c>
      <c r="AC27" s="96">
        <v>129877</v>
      </c>
      <c r="AD27" s="96">
        <f t="shared" si="0"/>
        <v>78277</v>
      </c>
      <c r="AE27" s="97">
        <v>452134</v>
      </c>
      <c r="AF27" s="96">
        <v>94286</v>
      </c>
      <c r="AG27" s="96">
        <v>122662</v>
      </c>
      <c r="AH27" s="96">
        <v>115798</v>
      </c>
      <c r="AI27" s="96">
        <v>113765</v>
      </c>
      <c r="AJ27" s="97">
        <v>446511</v>
      </c>
      <c r="AK27" s="96">
        <v>105975</v>
      </c>
      <c r="AL27" s="96">
        <v>124041</v>
      </c>
      <c r="AM27" s="96">
        <v>89470</v>
      </c>
      <c r="AN27" s="96">
        <v>68636</v>
      </c>
      <c r="AO27" s="97">
        <v>381722</v>
      </c>
      <c r="AP27" s="96">
        <v>88537</v>
      </c>
      <c r="AQ27" s="96">
        <v>92881</v>
      </c>
      <c r="AR27" s="96">
        <v>110387</v>
      </c>
      <c r="AS27" s="96">
        <v>78608</v>
      </c>
      <c r="AT27" s="97">
        <v>370413</v>
      </c>
      <c r="AU27" s="291">
        <v>367162</v>
      </c>
      <c r="AV27" s="96">
        <v>115184</v>
      </c>
      <c r="AW27" s="96">
        <v>152622</v>
      </c>
      <c r="AX27" s="96">
        <v>126685</v>
      </c>
      <c r="AY27" s="96">
        <v>114526</v>
      </c>
      <c r="AZ27" s="97">
        <v>509017</v>
      </c>
      <c r="BA27" s="373">
        <v>115184</v>
      </c>
      <c r="BB27" s="96">
        <v>152622</v>
      </c>
      <c r="BC27" s="96">
        <v>126685</v>
      </c>
      <c r="BD27" s="96">
        <v>114887</v>
      </c>
      <c r="BE27" s="96">
        <v>116410</v>
      </c>
      <c r="BF27" s="96">
        <v>509378</v>
      </c>
      <c r="BG27" s="96">
        <v>514351</v>
      </c>
      <c r="BH27" s="96">
        <v>178852</v>
      </c>
      <c r="BI27" s="96">
        <v>161593</v>
      </c>
      <c r="BJ27" s="96">
        <v>168706</v>
      </c>
      <c r="BK27" s="96">
        <v>133096</v>
      </c>
      <c r="BL27" s="96">
        <v>134958</v>
      </c>
      <c r="BM27" s="96">
        <v>127190</v>
      </c>
      <c r="BN27" s="96">
        <v>609686</v>
      </c>
      <c r="BO27" s="96">
        <v>158826</v>
      </c>
      <c r="BP27" s="96">
        <v>92212</v>
      </c>
      <c r="BQ27" s="96">
        <v>167678</v>
      </c>
      <c r="BR27" s="96">
        <f>SUM(BR5:BR26)</f>
        <v>132461</v>
      </c>
      <c r="BS27" s="96">
        <f>SUM(BS5:BS26)</f>
        <v>551177</v>
      </c>
    </row>
    <row r="28" spans="1:10" ht="12.75">
      <c r="A28" s="113"/>
      <c r="B28" s="106"/>
      <c r="C28" s="106"/>
      <c r="D28" s="106"/>
      <c r="E28" s="106"/>
      <c r="F28" s="106"/>
      <c r="G28" s="106"/>
      <c r="H28" s="106"/>
      <c r="I28" s="106"/>
      <c r="J28" s="106"/>
    </row>
    <row r="29" spans="1:71" ht="12.75">
      <c r="A29" s="110" t="s">
        <v>156</v>
      </c>
      <c r="B29" s="106"/>
      <c r="C29" s="106"/>
      <c r="D29" s="106"/>
      <c r="E29" s="106"/>
      <c r="F29" s="93">
        <v>6775</v>
      </c>
      <c r="G29" s="106"/>
      <c r="H29" s="106"/>
      <c r="I29" s="106"/>
      <c r="J29" s="106"/>
      <c r="K29" s="93">
        <v>1838</v>
      </c>
      <c r="L29" s="88">
        <v>19303</v>
      </c>
      <c r="M29" s="88">
        <v>-34260</v>
      </c>
      <c r="N29" s="88">
        <v>-59953</v>
      </c>
      <c r="O29" s="88">
        <v>53859</v>
      </c>
      <c r="P29" s="93">
        <v>-21051</v>
      </c>
      <c r="Q29" s="88">
        <v>37664</v>
      </c>
      <c r="R29" s="88">
        <v>-49447</v>
      </c>
      <c r="S29" s="88">
        <v>-47756</v>
      </c>
      <c r="T29" s="88">
        <v>43258</v>
      </c>
      <c r="U29" s="93">
        <v>-16281</v>
      </c>
      <c r="V29" s="88">
        <v>348</v>
      </c>
      <c r="W29" s="88">
        <v>-31108</v>
      </c>
      <c r="X29" s="88">
        <v>-100897</v>
      </c>
      <c r="Y29" s="88">
        <v>37240</v>
      </c>
      <c r="Z29" s="93">
        <v>-94417</v>
      </c>
      <c r="AA29" s="88">
        <v>1510</v>
      </c>
      <c r="AB29" s="88">
        <v>27068</v>
      </c>
      <c r="AC29" s="88">
        <v>6582</v>
      </c>
      <c r="AD29" s="88">
        <f t="shared" si="0"/>
        <v>37546</v>
      </c>
      <c r="AE29" s="93">
        <v>72706</v>
      </c>
      <c r="AF29" s="88">
        <v>-22130</v>
      </c>
      <c r="AG29" s="88">
        <v>-4287</v>
      </c>
      <c r="AH29" s="88">
        <v>-41322</v>
      </c>
      <c r="AI29" s="88">
        <v>-18272</v>
      </c>
      <c r="AJ29" s="93">
        <v>-86011</v>
      </c>
      <c r="AK29" s="88">
        <v>-54919</v>
      </c>
      <c r="AL29" s="88">
        <v>-39067</v>
      </c>
      <c r="AM29" s="88">
        <v>71342</v>
      </c>
      <c r="AN29" s="88">
        <v>106696</v>
      </c>
      <c r="AO29" s="93">
        <v>84052</v>
      </c>
      <c r="AP29" s="88">
        <v>-25776</v>
      </c>
      <c r="AQ29" s="88">
        <v>-8302</v>
      </c>
      <c r="AR29" s="88">
        <v>-9781</v>
      </c>
      <c r="AS29" s="88">
        <v>56708</v>
      </c>
      <c r="AT29" s="93">
        <v>12849</v>
      </c>
      <c r="AU29" s="101">
        <v>13437</v>
      </c>
      <c r="AV29" s="88">
        <v>-95261</v>
      </c>
      <c r="AW29" s="88">
        <v>-26018</v>
      </c>
      <c r="AX29" s="88">
        <v>11809</v>
      </c>
      <c r="AY29" s="88">
        <v>42188</v>
      </c>
      <c r="AZ29" s="93">
        <v>-67282</v>
      </c>
      <c r="BA29" s="372">
        <v>-95261</v>
      </c>
      <c r="BB29" s="88">
        <v>-26018</v>
      </c>
      <c r="BC29" s="88">
        <v>11809</v>
      </c>
      <c r="BD29" s="88">
        <v>45867</v>
      </c>
      <c r="BE29" s="88">
        <v>47561</v>
      </c>
      <c r="BF29" s="88">
        <v>-63603</v>
      </c>
      <c r="BG29" s="88">
        <v>-63032</v>
      </c>
      <c r="BH29" s="88">
        <v>-146608</v>
      </c>
      <c r="BI29" s="88">
        <v>2697</v>
      </c>
      <c r="BJ29" s="88">
        <v>-3145</v>
      </c>
      <c r="BK29" s="88">
        <v>18318</v>
      </c>
      <c r="BL29" s="88">
        <v>17511</v>
      </c>
      <c r="BM29" s="88">
        <v>23762</v>
      </c>
      <c r="BN29" s="88">
        <v>-108264</v>
      </c>
      <c r="BO29" s="88">
        <v>-141862</v>
      </c>
      <c r="BP29" s="88">
        <v>72185</v>
      </c>
      <c r="BQ29" s="88">
        <v>-19584</v>
      </c>
      <c r="BR29" s="542">
        <v>94639</v>
      </c>
      <c r="BS29" s="542">
        <v>5378</v>
      </c>
    </row>
    <row r="30" spans="1:71" ht="12.75">
      <c r="A30" s="110" t="s">
        <v>157</v>
      </c>
      <c r="B30" s="106"/>
      <c r="C30" s="106"/>
      <c r="D30" s="106"/>
      <c r="E30" s="106"/>
      <c r="F30" s="93">
        <v>-2252</v>
      </c>
      <c r="G30" s="106"/>
      <c r="H30" s="106"/>
      <c r="I30" s="106"/>
      <c r="J30" s="106"/>
      <c r="K30" s="93">
        <v>14330</v>
      </c>
      <c r="L30" s="88">
        <v>-7166</v>
      </c>
      <c r="M30" s="88">
        <v>19658</v>
      </c>
      <c r="N30" s="88">
        <v>8863</v>
      </c>
      <c r="O30" s="88">
        <v>-26699</v>
      </c>
      <c r="P30" s="93">
        <v>-5344</v>
      </c>
      <c r="Q30" s="88">
        <v>-1022</v>
      </c>
      <c r="R30" s="88">
        <v>9548</v>
      </c>
      <c r="S30" s="88">
        <v>-21321</v>
      </c>
      <c r="T30" s="88">
        <v>-44963</v>
      </c>
      <c r="U30" s="93">
        <v>-57758</v>
      </c>
      <c r="V30" s="88">
        <v>6006</v>
      </c>
      <c r="W30" s="88">
        <v>16410</v>
      </c>
      <c r="X30" s="88">
        <v>-17888</v>
      </c>
      <c r="Y30" s="88">
        <v>-66882</v>
      </c>
      <c r="Z30" s="93">
        <v>-62354</v>
      </c>
      <c r="AA30" s="88">
        <v>-10591</v>
      </c>
      <c r="AB30" s="88">
        <v>-12316</v>
      </c>
      <c r="AC30" s="88">
        <v>-249</v>
      </c>
      <c r="AD30" s="88">
        <f t="shared" si="0"/>
        <v>34052</v>
      </c>
      <c r="AE30" s="93">
        <v>10896</v>
      </c>
      <c r="AF30" s="88">
        <v>1280</v>
      </c>
      <c r="AG30" s="88">
        <v>-31153</v>
      </c>
      <c r="AH30" s="88">
        <v>-14977</v>
      </c>
      <c r="AI30" s="88">
        <v>8047</v>
      </c>
      <c r="AJ30" s="93">
        <v>-36803</v>
      </c>
      <c r="AK30" s="88">
        <v>-39330</v>
      </c>
      <c r="AL30" s="88">
        <v>-30604</v>
      </c>
      <c r="AM30" s="88">
        <v>12547</v>
      </c>
      <c r="AN30" s="88">
        <v>93528</v>
      </c>
      <c r="AO30" s="93">
        <v>36141</v>
      </c>
      <c r="AP30" s="88">
        <v>-11211</v>
      </c>
      <c r="AQ30" s="88">
        <v>14098</v>
      </c>
      <c r="AR30" s="88">
        <v>-11066</v>
      </c>
      <c r="AS30" s="88">
        <v>3211</v>
      </c>
      <c r="AT30" s="93">
        <v>-4968</v>
      </c>
      <c r="AU30" s="101">
        <v>4751</v>
      </c>
      <c r="AV30" s="88">
        <v>-31713</v>
      </c>
      <c r="AW30" s="88">
        <v>-29508</v>
      </c>
      <c r="AX30" s="88">
        <v>8707</v>
      </c>
      <c r="AY30" s="88">
        <v>34622</v>
      </c>
      <c r="AZ30" s="93">
        <v>-17892</v>
      </c>
      <c r="BA30" s="372">
        <v>-31713</v>
      </c>
      <c r="BB30" s="88">
        <v>-29508</v>
      </c>
      <c r="BC30" s="88">
        <v>8707</v>
      </c>
      <c r="BD30" s="88">
        <v>36175</v>
      </c>
      <c r="BE30" s="88">
        <v>36175</v>
      </c>
      <c r="BF30" s="88">
        <v>-16339</v>
      </c>
      <c r="BG30" s="88">
        <v>-16339</v>
      </c>
      <c r="BH30" s="88">
        <v>-49961</v>
      </c>
      <c r="BI30" s="88">
        <v>-7648</v>
      </c>
      <c r="BJ30" s="88">
        <v>-7648</v>
      </c>
      <c r="BK30" s="88">
        <v>-17549</v>
      </c>
      <c r="BL30" s="88">
        <v>-17549</v>
      </c>
      <c r="BM30" s="88">
        <v>-38657</v>
      </c>
      <c r="BN30" s="88">
        <v>-113815</v>
      </c>
      <c r="BO30" s="88">
        <v>-20497</v>
      </c>
      <c r="BP30" s="88">
        <v>29270</v>
      </c>
      <c r="BQ30" s="88">
        <v>-45785</v>
      </c>
      <c r="BR30" s="542">
        <v>50837</v>
      </c>
      <c r="BS30" s="542">
        <v>13825</v>
      </c>
    </row>
    <row r="31" spans="1:71" ht="12.75">
      <c r="A31" s="110" t="s">
        <v>158</v>
      </c>
      <c r="B31" s="106"/>
      <c r="C31" s="106"/>
      <c r="D31" s="106"/>
      <c r="E31" s="106"/>
      <c r="F31" s="93">
        <v>5744</v>
      </c>
      <c r="G31" s="106"/>
      <c r="H31" s="106"/>
      <c r="I31" s="106"/>
      <c r="J31" s="106"/>
      <c r="K31" s="93">
        <v>-6172</v>
      </c>
      <c r="L31" s="88">
        <v>413</v>
      </c>
      <c r="M31" s="88">
        <v>4572</v>
      </c>
      <c r="N31" s="88">
        <v>-13008</v>
      </c>
      <c r="O31" s="88">
        <v>8809</v>
      </c>
      <c r="P31" s="93">
        <v>786</v>
      </c>
      <c r="Q31" s="88">
        <v>-16539</v>
      </c>
      <c r="R31" s="88">
        <v>5692</v>
      </c>
      <c r="S31" s="88">
        <v>-1426</v>
      </c>
      <c r="T31" s="88">
        <v>6989</v>
      </c>
      <c r="U31" s="93">
        <v>-5284</v>
      </c>
      <c r="V31" s="88">
        <v>-520</v>
      </c>
      <c r="W31" s="88">
        <v>-1125</v>
      </c>
      <c r="X31" s="88">
        <v>-15806</v>
      </c>
      <c r="Y31" s="88">
        <v>16146</v>
      </c>
      <c r="Z31" s="93">
        <v>-1305</v>
      </c>
      <c r="AA31" s="88">
        <v>-16032</v>
      </c>
      <c r="AB31" s="88">
        <v>652</v>
      </c>
      <c r="AC31" s="88">
        <v>2082</v>
      </c>
      <c r="AD31" s="88">
        <f t="shared" si="0"/>
        <v>18314</v>
      </c>
      <c r="AE31" s="93">
        <v>5016</v>
      </c>
      <c r="AF31" s="88">
        <v>-9703</v>
      </c>
      <c r="AG31" s="88">
        <v>-21031</v>
      </c>
      <c r="AH31" s="88">
        <v>9135</v>
      </c>
      <c r="AI31" s="88">
        <v>19362</v>
      </c>
      <c r="AJ31" s="93">
        <v>-2237</v>
      </c>
      <c r="AK31" s="88">
        <v>-32832</v>
      </c>
      <c r="AL31" s="88">
        <v>7125</v>
      </c>
      <c r="AM31" s="88">
        <v>3735</v>
      </c>
      <c r="AN31" s="88">
        <v>4862</v>
      </c>
      <c r="AO31" s="93">
        <v>-10710</v>
      </c>
      <c r="AP31" s="88">
        <v>-2900</v>
      </c>
      <c r="AQ31" s="88">
        <v>8415</v>
      </c>
      <c r="AR31" s="88">
        <v>-5551</v>
      </c>
      <c r="AS31" s="88">
        <v>1846</v>
      </c>
      <c r="AT31" s="93">
        <v>1810</v>
      </c>
      <c r="AU31" s="101">
        <v>180</v>
      </c>
      <c r="AV31" s="88">
        <v>-18170</v>
      </c>
      <c r="AW31" s="88">
        <v>15105</v>
      </c>
      <c r="AX31" s="88">
        <v>-17633</v>
      </c>
      <c r="AY31" s="88">
        <v>16768</v>
      </c>
      <c r="AZ31" s="93">
        <v>-3930</v>
      </c>
      <c r="BA31" s="372">
        <v>-18170</v>
      </c>
      <c r="BB31" s="88">
        <v>15105</v>
      </c>
      <c r="BC31" s="88">
        <v>-17633</v>
      </c>
      <c r="BD31" s="88">
        <v>18456</v>
      </c>
      <c r="BE31" s="88">
        <v>18370</v>
      </c>
      <c r="BF31" s="88">
        <v>-2242</v>
      </c>
      <c r="BG31" s="88">
        <v>-2553</v>
      </c>
      <c r="BH31" s="88">
        <v>-51934</v>
      </c>
      <c r="BI31" s="88">
        <v>12694</v>
      </c>
      <c r="BJ31" s="88">
        <v>12608</v>
      </c>
      <c r="BK31" s="88">
        <v>-1814</v>
      </c>
      <c r="BL31" s="88">
        <v>-162</v>
      </c>
      <c r="BM31" s="88">
        <v>42177</v>
      </c>
      <c r="BN31" s="88">
        <v>1231</v>
      </c>
      <c r="BO31" s="88">
        <v>-59274</v>
      </c>
      <c r="BP31" s="88">
        <v>-1730</v>
      </c>
      <c r="BQ31" s="88">
        <v>26823</v>
      </c>
      <c r="BR31" s="542">
        <v>21805</v>
      </c>
      <c r="BS31" s="542">
        <v>-12376</v>
      </c>
    </row>
    <row r="32" spans="1:71" ht="12.75">
      <c r="A32" s="110" t="s">
        <v>159</v>
      </c>
      <c r="B32" s="106"/>
      <c r="C32" s="106"/>
      <c r="D32" s="106"/>
      <c r="E32" s="106"/>
      <c r="F32" s="93">
        <v>-7881</v>
      </c>
      <c r="G32" s="106"/>
      <c r="H32" s="106"/>
      <c r="I32" s="106"/>
      <c r="J32" s="106"/>
      <c r="K32" s="93">
        <v>2509</v>
      </c>
      <c r="L32" s="88">
        <v>-6609</v>
      </c>
      <c r="M32" s="88">
        <v>21979</v>
      </c>
      <c r="N32" s="88">
        <v>-17218</v>
      </c>
      <c r="O32" s="88">
        <v>41303</v>
      </c>
      <c r="P32" s="93">
        <v>39455</v>
      </c>
      <c r="Q32" s="88">
        <v>-41161</v>
      </c>
      <c r="R32" s="88">
        <v>34440</v>
      </c>
      <c r="S32" s="88">
        <v>-5760</v>
      </c>
      <c r="T32" s="88">
        <v>34216</v>
      </c>
      <c r="U32" s="93">
        <v>21735</v>
      </c>
      <c r="V32" s="88">
        <v>-26542</v>
      </c>
      <c r="W32" s="88">
        <v>25856</v>
      </c>
      <c r="X32" s="88">
        <v>25401</v>
      </c>
      <c r="Y32" s="88">
        <v>54277</v>
      </c>
      <c r="Z32" s="93">
        <v>78992</v>
      </c>
      <c r="AA32" s="88">
        <v>-29386</v>
      </c>
      <c r="AB32" s="88">
        <v>1503</v>
      </c>
      <c r="AC32" s="88">
        <v>-3694</v>
      </c>
      <c r="AD32" s="88">
        <f>AE32-AC32-AB32-AA32</f>
        <v>10629</v>
      </c>
      <c r="AE32" s="93">
        <v>-20948</v>
      </c>
      <c r="AF32" s="88">
        <v>-37021</v>
      </c>
      <c r="AG32" s="88">
        <v>13940</v>
      </c>
      <c r="AH32" s="88">
        <v>52721</v>
      </c>
      <c r="AI32" s="88">
        <v>45144</v>
      </c>
      <c r="AJ32" s="93">
        <v>74784</v>
      </c>
      <c r="AK32" s="88">
        <v>-42364</v>
      </c>
      <c r="AL32" s="88">
        <v>38245</v>
      </c>
      <c r="AM32" s="88">
        <v>-48101</v>
      </c>
      <c r="AN32" s="88">
        <v>-42675</v>
      </c>
      <c r="AO32" s="93">
        <v>-94895</v>
      </c>
      <c r="AP32" s="88">
        <v>-34443</v>
      </c>
      <c r="AQ32" s="88">
        <v>78814</v>
      </c>
      <c r="AR32" s="88">
        <v>-45697</v>
      </c>
      <c r="AS32" s="88">
        <v>43604</v>
      </c>
      <c r="AT32" s="93">
        <v>42278</v>
      </c>
      <c r="AU32" s="101">
        <v>36921</v>
      </c>
      <c r="AV32" s="88">
        <v>-86464</v>
      </c>
      <c r="AW32" s="88">
        <v>167180</v>
      </c>
      <c r="AX32" s="88">
        <v>-82927</v>
      </c>
      <c r="AY32" s="88">
        <v>8634</v>
      </c>
      <c r="AZ32" s="93">
        <v>6423</v>
      </c>
      <c r="BA32" s="372">
        <v>-86464</v>
      </c>
      <c r="BB32" s="88">
        <v>167180</v>
      </c>
      <c r="BC32" s="88">
        <v>-82927</v>
      </c>
      <c r="BD32" s="88">
        <v>8085</v>
      </c>
      <c r="BE32" s="88">
        <v>8085</v>
      </c>
      <c r="BF32" s="88">
        <v>5874</v>
      </c>
      <c r="BG32" s="88">
        <v>5874</v>
      </c>
      <c r="BH32" s="88">
        <v>-14318</v>
      </c>
      <c r="BI32" s="88">
        <v>-1195</v>
      </c>
      <c r="BJ32" s="88">
        <v>-1195</v>
      </c>
      <c r="BK32" s="88">
        <v>34674</v>
      </c>
      <c r="BL32" s="88">
        <v>29472</v>
      </c>
      <c r="BM32" s="88">
        <v>4398</v>
      </c>
      <c r="BN32" s="88">
        <v>18357</v>
      </c>
      <c r="BO32" s="88">
        <v>-28548</v>
      </c>
      <c r="BP32" s="88">
        <v>30059</v>
      </c>
      <c r="BQ32" s="88">
        <v>98347</v>
      </c>
      <c r="BR32" s="542">
        <v>-136620</v>
      </c>
      <c r="BS32" s="542">
        <v>-36762</v>
      </c>
    </row>
    <row r="33" spans="1:71" ht="12.75">
      <c r="A33" s="110" t="s">
        <v>160</v>
      </c>
      <c r="B33" s="106"/>
      <c r="C33" s="106"/>
      <c r="D33" s="106"/>
      <c r="E33" s="106"/>
      <c r="F33" s="93">
        <v>-12294</v>
      </c>
      <c r="G33" s="106"/>
      <c r="H33" s="106"/>
      <c r="I33" s="106"/>
      <c r="J33" s="106"/>
      <c r="K33" s="93">
        <v>6119</v>
      </c>
      <c r="L33" s="88">
        <v>107</v>
      </c>
      <c r="M33" s="88">
        <v>-873</v>
      </c>
      <c r="N33" s="88">
        <v>11607</v>
      </c>
      <c r="O33" s="88">
        <v>4205</v>
      </c>
      <c r="P33" s="93">
        <v>15046</v>
      </c>
      <c r="Q33" s="88">
        <v>30789</v>
      </c>
      <c r="R33" s="88">
        <v>6997</v>
      </c>
      <c r="S33" s="88">
        <v>-5749</v>
      </c>
      <c r="T33" s="88">
        <v>-17465</v>
      </c>
      <c r="U33" s="93">
        <v>14572</v>
      </c>
      <c r="V33" s="88">
        <v>9136</v>
      </c>
      <c r="W33" s="88">
        <v>5721</v>
      </c>
      <c r="X33" s="88">
        <v>24224</v>
      </c>
      <c r="Y33" s="88">
        <v>-41911</v>
      </c>
      <c r="Z33" s="93">
        <v>-2830</v>
      </c>
      <c r="AA33" s="88">
        <v>48722</v>
      </c>
      <c r="AB33" s="88">
        <v>8102</v>
      </c>
      <c r="AC33" s="88">
        <v>21318</v>
      </c>
      <c r="AD33" s="88">
        <f t="shared" si="0"/>
        <v>-43852</v>
      </c>
      <c r="AE33" s="93">
        <v>34290</v>
      </c>
      <c r="AF33" s="88">
        <v>27898</v>
      </c>
      <c r="AG33" s="88">
        <v>24258</v>
      </c>
      <c r="AH33" s="88">
        <v>-3935</v>
      </c>
      <c r="AI33" s="88">
        <v>-59465</v>
      </c>
      <c r="AJ33" s="93">
        <v>-11244</v>
      </c>
      <c r="AK33" s="88">
        <v>36777</v>
      </c>
      <c r="AL33" s="88">
        <v>8189</v>
      </c>
      <c r="AM33" s="88">
        <v>9194</v>
      </c>
      <c r="AN33" s="88">
        <v>-42462</v>
      </c>
      <c r="AO33" s="93">
        <v>11698</v>
      </c>
      <c r="AP33" s="88">
        <v>29493</v>
      </c>
      <c r="AQ33" s="88">
        <v>4363</v>
      </c>
      <c r="AR33" s="88">
        <v>27155</v>
      </c>
      <c r="AS33" s="88">
        <v>-8864</v>
      </c>
      <c r="AT33" s="93">
        <v>52147</v>
      </c>
      <c r="AU33" s="101">
        <v>4418</v>
      </c>
      <c r="AV33" s="88">
        <v>26789</v>
      </c>
      <c r="AW33" s="88">
        <v>-5404</v>
      </c>
      <c r="AX33" s="88">
        <v>-18623</v>
      </c>
      <c r="AY33" s="88">
        <v>-24701</v>
      </c>
      <c r="AZ33" s="93">
        <v>-14450</v>
      </c>
      <c r="BA33" s="372">
        <v>26789</v>
      </c>
      <c r="BB33" s="88">
        <v>-5404</v>
      </c>
      <c r="BC33" s="88">
        <v>-18623</v>
      </c>
      <c r="BD33" s="88">
        <v>-32153</v>
      </c>
      <c r="BE33" s="88">
        <v>-24664</v>
      </c>
      <c r="BF33" s="88">
        <v>-21902</v>
      </c>
      <c r="BG33" s="88">
        <v>-21902</v>
      </c>
      <c r="BH33" s="88">
        <v>76619</v>
      </c>
      <c r="BI33" s="88">
        <v>-23734</v>
      </c>
      <c r="BJ33" s="88">
        <v>-23734</v>
      </c>
      <c r="BK33" s="88">
        <v>664</v>
      </c>
      <c r="BL33" s="88">
        <v>5866</v>
      </c>
      <c r="BM33" s="88">
        <v>-40243</v>
      </c>
      <c r="BN33" s="88">
        <v>18508</v>
      </c>
      <c r="BO33" s="88">
        <v>93650</v>
      </c>
      <c r="BP33" s="88">
        <v>-37993</v>
      </c>
      <c r="BQ33" s="88">
        <v>-6925</v>
      </c>
      <c r="BR33" s="542">
        <v>-51251</v>
      </c>
      <c r="BS33" s="542">
        <v>-2519</v>
      </c>
    </row>
    <row r="34" spans="1:71" ht="12.75">
      <c r="A34" s="111" t="s">
        <v>161</v>
      </c>
      <c r="B34" s="106"/>
      <c r="C34" s="106"/>
      <c r="D34" s="106"/>
      <c r="E34" s="106"/>
      <c r="F34" s="93">
        <v>-4268</v>
      </c>
      <c r="G34" s="106"/>
      <c r="H34" s="106"/>
      <c r="I34" s="106"/>
      <c r="J34" s="106"/>
      <c r="K34" s="93">
        <v>-1404</v>
      </c>
      <c r="L34" s="88">
        <v>-249</v>
      </c>
      <c r="M34" s="88">
        <v>-2215</v>
      </c>
      <c r="N34" s="88">
        <v>-1848</v>
      </c>
      <c r="O34" s="88">
        <v>-1827</v>
      </c>
      <c r="P34" s="93">
        <v>-6139</v>
      </c>
      <c r="Q34" s="88">
        <v>-1828</v>
      </c>
      <c r="R34" s="88">
        <v>-119</v>
      </c>
      <c r="S34" s="88">
        <v>-1331</v>
      </c>
      <c r="T34" s="88">
        <v>-15009</v>
      </c>
      <c r="U34" s="93">
        <v>-18287</v>
      </c>
      <c r="V34" s="88">
        <v>-11900</v>
      </c>
      <c r="W34" s="88">
        <v>-6291</v>
      </c>
      <c r="X34" s="88">
        <v>-5025</v>
      </c>
      <c r="Y34" s="88">
        <v>-9887</v>
      </c>
      <c r="Z34" s="93">
        <v>-33103</v>
      </c>
      <c r="AA34" s="88">
        <v>-7830</v>
      </c>
      <c r="AB34" s="88">
        <v>-1818</v>
      </c>
      <c r="AC34" s="88">
        <v>-5079</v>
      </c>
      <c r="AD34" s="88">
        <f t="shared" si="0"/>
        <v>-9859</v>
      </c>
      <c r="AE34" s="93">
        <v>-24586</v>
      </c>
      <c r="AF34" s="88">
        <v>-6418</v>
      </c>
      <c r="AG34" s="88">
        <v>-1698</v>
      </c>
      <c r="AH34" s="88">
        <v>-8527</v>
      </c>
      <c r="AI34" s="88">
        <v>-52851</v>
      </c>
      <c r="AJ34" s="93">
        <v>-69494</v>
      </c>
      <c r="AK34" s="88">
        <v>-14968</v>
      </c>
      <c r="AL34" s="88">
        <v>-9741</v>
      </c>
      <c r="AM34" s="88">
        <v>-19158</v>
      </c>
      <c r="AN34" s="88">
        <v>-17064</v>
      </c>
      <c r="AO34" s="93">
        <v>-60931</v>
      </c>
      <c r="AP34" s="88">
        <v>-18422</v>
      </c>
      <c r="AQ34" s="88">
        <v>350</v>
      </c>
      <c r="AR34" s="88">
        <v>-8436</v>
      </c>
      <c r="AS34" s="88">
        <v>-35801</v>
      </c>
      <c r="AT34" s="93">
        <v>-62309</v>
      </c>
      <c r="AU34" s="101">
        <v>-28978</v>
      </c>
      <c r="AV34" s="88">
        <v>-9588</v>
      </c>
      <c r="AW34" s="88">
        <v>2169</v>
      </c>
      <c r="AX34" s="88">
        <v>-6620</v>
      </c>
      <c r="AY34" s="88">
        <v>-23838</v>
      </c>
      <c r="AZ34" s="93">
        <v>-37877</v>
      </c>
      <c r="BA34" s="372">
        <v>-9588</v>
      </c>
      <c r="BB34" s="88">
        <v>2169</v>
      </c>
      <c r="BC34" s="88">
        <v>-6620</v>
      </c>
      <c r="BD34" s="88">
        <v>-23474</v>
      </c>
      <c r="BE34" s="88">
        <v>-23474</v>
      </c>
      <c r="BF34" s="88">
        <v>-37513</v>
      </c>
      <c r="BG34" s="88">
        <v>-37513</v>
      </c>
      <c r="BH34" s="88">
        <v>-9411</v>
      </c>
      <c r="BI34" s="88">
        <v>-12234</v>
      </c>
      <c r="BJ34" s="88">
        <v>-12234</v>
      </c>
      <c r="BK34" s="88">
        <v>-13813</v>
      </c>
      <c r="BL34" s="88">
        <v>-13813</v>
      </c>
      <c r="BM34" s="88">
        <v>-17295</v>
      </c>
      <c r="BN34" s="88">
        <v>-52753</v>
      </c>
      <c r="BO34" s="88">
        <v>-13655</v>
      </c>
      <c r="BP34" s="88">
        <v>-21862</v>
      </c>
      <c r="BQ34" s="88">
        <v>-14837</v>
      </c>
      <c r="BR34" s="542">
        <v>-13722</v>
      </c>
      <c r="BS34" s="542">
        <v>-64076</v>
      </c>
    </row>
    <row r="35" spans="1:71" ht="12.75">
      <c r="A35" s="107" t="s">
        <v>162</v>
      </c>
      <c r="B35" s="96">
        <v>36411</v>
      </c>
      <c r="C35" s="96">
        <v>902</v>
      </c>
      <c r="D35" s="96">
        <v>-11278</v>
      </c>
      <c r="E35" s="96">
        <v>45377</v>
      </c>
      <c r="F35" s="97">
        <v>71412</v>
      </c>
      <c r="G35" s="96">
        <v>55876</v>
      </c>
      <c r="H35" s="96">
        <v>40021</v>
      </c>
      <c r="I35" s="96">
        <v>-21139</v>
      </c>
      <c r="J35" s="96">
        <v>93087</v>
      </c>
      <c r="K35" s="97">
        <v>167845</v>
      </c>
      <c r="L35" s="96">
        <v>55191</v>
      </c>
      <c r="M35" s="96">
        <v>37078</v>
      </c>
      <c r="N35" s="96">
        <v>-19193</v>
      </c>
      <c r="O35" s="96">
        <v>130082</v>
      </c>
      <c r="P35" s="97">
        <v>203158</v>
      </c>
      <c r="Q35" s="96">
        <v>95043</v>
      </c>
      <c r="R35" s="96">
        <v>76155</v>
      </c>
      <c r="S35" s="96">
        <v>23587</v>
      </c>
      <c r="T35" s="96">
        <v>129596</v>
      </c>
      <c r="U35" s="97">
        <v>324381</v>
      </c>
      <c r="V35" s="96">
        <v>97071</v>
      </c>
      <c r="W35" s="96">
        <v>83049</v>
      </c>
      <c r="X35" s="96">
        <v>11292</v>
      </c>
      <c r="Y35" s="96">
        <v>90747</v>
      </c>
      <c r="Z35" s="97">
        <v>282159</v>
      </c>
      <c r="AA35" s="96">
        <v>91365</v>
      </c>
      <c r="AB35" s="96">
        <v>162199</v>
      </c>
      <c r="AC35" s="96">
        <v>150837</v>
      </c>
      <c r="AD35" s="96">
        <f t="shared" si="0"/>
        <v>125107</v>
      </c>
      <c r="AE35" s="97">
        <v>529508</v>
      </c>
      <c r="AF35" s="96">
        <v>48192</v>
      </c>
      <c r="AG35" s="96">
        <v>102691</v>
      </c>
      <c r="AH35" s="96">
        <v>108893</v>
      </c>
      <c r="AI35" s="96">
        <v>55730</v>
      </c>
      <c r="AJ35" s="97">
        <v>315506</v>
      </c>
      <c r="AK35" s="96">
        <v>-41661</v>
      </c>
      <c r="AL35" s="96">
        <v>98188</v>
      </c>
      <c r="AM35" s="96">
        <v>119029</v>
      </c>
      <c r="AN35" s="96">
        <v>171521</v>
      </c>
      <c r="AO35" s="97">
        <v>347077</v>
      </c>
      <c r="AP35" s="96">
        <v>25278</v>
      </c>
      <c r="AQ35" s="96">
        <v>190619</v>
      </c>
      <c r="AR35" s="96">
        <v>57011</v>
      </c>
      <c r="AS35" s="96">
        <v>139312</v>
      </c>
      <c r="AT35" s="97">
        <v>412220</v>
      </c>
      <c r="AU35" s="291">
        <v>397891</v>
      </c>
      <c r="AV35" s="96">
        <v>-99223</v>
      </c>
      <c r="AW35" s="96">
        <v>276146</v>
      </c>
      <c r="AX35" s="96">
        <v>21398</v>
      </c>
      <c r="AY35" s="96">
        <v>168199</v>
      </c>
      <c r="AZ35" s="97">
        <v>374009</v>
      </c>
      <c r="BA35" s="373">
        <v>-99223</v>
      </c>
      <c r="BB35" s="96">
        <v>276146</v>
      </c>
      <c r="BC35" s="96">
        <v>21398</v>
      </c>
      <c r="BD35" s="96">
        <v>167843</v>
      </c>
      <c r="BE35" s="96">
        <v>178463</v>
      </c>
      <c r="BF35" s="96">
        <v>373653</v>
      </c>
      <c r="BG35" s="96">
        <v>378886</v>
      </c>
      <c r="BH35" s="96">
        <v>-16761</v>
      </c>
      <c r="BI35" s="96">
        <v>132173</v>
      </c>
      <c r="BJ35" s="96">
        <v>133358</v>
      </c>
      <c r="BK35" s="96">
        <v>153576</v>
      </c>
      <c r="BL35" s="96">
        <v>154825</v>
      </c>
      <c r="BM35" s="96">
        <v>101332</v>
      </c>
      <c r="BN35" s="96">
        <v>372950</v>
      </c>
      <c r="BO35" s="96">
        <v>-11360</v>
      </c>
      <c r="BP35" s="96">
        <v>162141</v>
      </c>
      <c r="BQ35" s="96">
        <v>205717</v>
      </c>
      <c r="BR35" s="96">
        <f>BR27+SUM(BR29:BR34)</f>
        <v>98149</v>
      </c>
      <c r="BS35" s="96">
        <f>BS27+SUM(BS29:BS34)</f>
        <v>454647</v>
      </c>
    </row>
    <row r="36" spans="1:45" ht="12.75">
      <c r="A36" s="114"/>
      <c r="AS36" s="96"/>
    </row>
    <row r="37" spans="1:71" ht="12.75">
      <c r="A37" s="110" t="s">
        <v>163</v>
      </c>
      <c r="B37" s="88">
        <v>-4066</v>
      </c>
      <c r="C37" s="88">
        <v>-16435</v>
      </c>
      <c r="D37" s="88">
        <v>-19495</v>
      </c>
      <c r="E37" s="88">
        <v>-28580</v>
      </c>
      <c r="F37" s="93">
        <v>-68576</v>
      </c>
      <c r="G37" s="88">
        <v>-7294</v>
      </c>
      <c r="H37" s="88">
        <v>-15735</v>
      </c>
      <c r="I37" s="88">
        <v>-19947</v>
      </c>
      <c r="J37" s="88">
        <v>-47358</v>
      </c>
      <c r="K37" s="93">
        <v>-90334</v>
      </c>
      <c r="L37" s="88">
        <v>-15633</v>
      </c>
      <c r="M37" s="88">
        <v>-30595</v>
      </c>
      <c r="N37" s="88">
        <v>-54901</v>
      </c>
      <c r="O37" s="88">
        <v>-85746</v>
      </c>
      <c r="P37" s="93">
        <v>-186875</v>
      </c>
      <c r="Q37" s="88">
        <v>-39165</v>
      </c>
      <c r="R37" s="88">
        <v>-33945</v>
      </c>
      <c r="S37" s="88">
        <v>-45941</v>
      </c>
      <c r="T37" s="88">
        <v>-66285</v>
      </c>
      <c r="U37" s="93">
        <v>-185336</v>
      </c>
      <c r="V37" s="88">
        <v>-24144</v>
      </c>
      <c r="W37" s="88">
        <v>-40879</v>
      </c>
      <c r="X37" s="88">
        <v>-29317</v>
      </c>
      <c r="Y37" s="88">
        <v>-120246</v>
      </c>
      <c r="Z37" s="93">
        <v>-214586</v>
      </c>
      <c r="AA37" s="88">
        <v>-17040</v>
      </c>
      <c r="AB37" s="88">
        <v>-28732</v>
      </c>
      <c r="AC37" s="88">
        <v>-34011</v>
      </c>
      <c r="AD37" s="88">
        <f t="shared" si="0"/>
        <v>-65063</v>
      </c>
      <c r="AE37" s="93">
        <v>-144846</v>
      </c>
      <c r="AF37" s="88">
        <v>-17334</v>
      </c>
      <c r="AG37" s="88">
        <v>-37534</v>
      </c>
      <c r="AH37" s="88">
        <v>-35095</v>
      </c>
      <c r="AI37" s="88">
        <v>-68112</v>
      </c>
      <c r="AJ37" s="93">
        <v>-158075</v>
      </c>
      <c r="AK37" s="88">
        <v>-62134</v>
      </c>
      <c r="AL37" s="88">
        <v>-75334</v>
      </c>
      <c r="AM37" s="88">
        <v>-80829</v>
      </c>
      <c r="AN37" s="88">
        <v>-93029</v>
      </c>
      <c r="AO37" s="93">
        <v>-311326</v>
      </c>
      <c r="AP37" s="88">
        <v>-69084</v>
      </c>
      <c r="AQ37" s="88">
        <v>-65005</v>
      </c>
      <c r="AR37" s="88">
        <v>-92747</v>
      </c>
      <c r="AS37" s="88">
        <v>-79390</v>
      </c>
      <c r="AT37" s="93">
        <v>-306226</v>
      </c>
      <c r="AU37" s="101">
        <v>-297890</v>
      </c>
      <c r="AV37" s="88">
        <v>-85580</v>
      </c>
      <c r="AW37" s="88">
        <v>-74365</v>
      </c>
      <c r="AX37" s="88">
        <v>-72791</v>
      </c>
      <c r="AY37" s="88">
        <v>-72335</v>
      </c>
      <c r="AZ37" s="93">
        <v>-305071</v>
      </c>
      <c r="BA37" s="372">
        <v>-85580</v>
      </c>
      <c r="BB37" s="88">
        <v>-74365</v>
      </c>
      <c r="BC37" s="88">
        <v>-72791</v>
      </c>
      <c r="BD37" s="88">
        <v>-70603</v>
      </c>
      <c r="BE37" s="88">
        <v>-72665</v>
      </c>
      <c r="BF37" s="88">
        <v>-303339</v>
      </c>
      <c r="BG37" s="88">
        <v>-305401</v>
      </c>
      <c r="BH37" s="88">
        <v>-49424</v>
      </c>
      <c r="BI37" s="88">
        <v>-34645</v>
      </c>
      <c r="BJ37" s="88">
        <v>-34640</v>
      </c>
      <c r="BK37" s="88">
        <v>-60319</v>
      </c>
      <c r="BL37" s="88">
        <v>-60319</v>
      </c>
      <c r="BM37" s="88">
        <v>-80172</v>
      </c>
      <c r="BN37" s="88">
        <v>-224751</v>
      </c>
      <c r="BO37" s="88">
        <v>-62852</v>
      </c>
      <c r="BP37" s="88">
        <v>-48320</v>
      </c>
      <c r="BQ37" s="88">
        <v>-80909</v>
      </c>
      <c r="BR37" s="88">
        <v>-99687</v>
      </c>
      <c r="BS37" s="542">
        <v>-269408</v>
      </c>
    </row>
    <row r="38" spans="1:71" ht="12.75">
      <c r="A38" s="110" t="s">
        <v>336</v>
      </c>
      <c r="B38" s="88">
        <v>3302</v>
      </c>
      <c r="C38" s="88">
        <v>5507</v>
      </c>
      <c r="D38" s="88">
        <v>991</v>
      </c>
      <c r="E38" s="88">
        <v>4053</v>
      </c>
      <c r="F38" s="93">
        <v>13853</v>
      </c>
      <c r="G38" s="88">
        <v>705</v>
      </c>
      <c r="H38" s="88">
        <v>1131</v>
      </c>
      <c r="I38" s="88">
        <v>1603</v>
      </c>
      <c r="J38" s="88">
        <v>1342</v>
      </c>
      <c r="K38" s="93">
        <v>4781</v>
      </c>
      <c r="L38" s="88">
        <v>223</v>
      </c>
      <c r="M38" s="88">
        <v>503</v>
      </c>
      <c r="N38" s="88">
        <v>325</v>
      </c>
      <c r="O38" s="88">
        <v>2018</v>
      </c>
      <c r="P38" s="93">
        <v>3069</v>
      </c>
      <c r="Q38" s="88">
        <v>1208</v>
      </c>
      <c r="R38" s="88">
        <v>624</v>
      </c>
      <c r="S38" s="88">
        <v>99</v>
      </c>
      <c r="T38" s="88">
        <v>1016</v>
      </c>
      <c r="U38" s="93">
        <v>2947</v>
      </c>
      <c r="V38" s="88">
        <v>394</v>
      </c>
      <c r="W38" s="88">
        <v>1479</v>
      </c>
      <c r="X38" s="88">
        <v>644</v>
      </c>
      <c r="Y38" s="88">
        <v>2048</v>
      </c>
      <c r="Z38" s="93">
        <v>4565</v>
      </c>
      <c r="AA38" s="88">
        <v>786</v>
      </c>
      <c r="AB38" s="88">
        <v>5507</v>
      </c>
      <c r="AC38" s="88">
        <v>668</v>
      </c>
      <c r="AD38" s="88">
        <f t="shared" si="0"/>
        <v>1855</v>
      </c>
      <c r="AE38" s="93">
        <v>8816</v>
      </c>
      <c r="AF38" s="88">
        <v>2606</v>
      </c>
      <c r="AG38" s="88">
        <v>398</v>
      </c>
      <c r="AH38" s="88">
        <v>776</v>
      </c>
      <c r="AI38" s="88">
        <v>752</v>
      </c>
      <c r="AJ38" s="93">
        <v>4532</v>
      </c>
      <c r="AK38" s="88">
        <v>303</v>
      </c>
      <c r="AL38" s="88">
        <v>860</v>
      </c>
      <c r="AM38" s="88">
        <v>657</v>
      </c>
      <c r="AN38" s="88">
        <v>594</v>
      </c>
      <c r="AO38" s="93">
        <v>2414</v>
      </c>
      <c r="AP38" s="88">
        <v>694</v>
      </c>
      <c r="AQ38" s="88">
        <v>17320</v>
      </c>
      <c r="AR38" s="88">
        <v>188</v>
      </c>
      <c r="AS38" s="88">
        <v>2486</v>
      </c>
      <c r="AT38" s="93">
        <v>20688</v>
      </c>
      <c r="AU38" s="101">
        <v>20676</v>
      </c>
      <c r="AV38" s="88">
        <v>1736</v>
      </c>
      <c r="AW38" s="88">
        <v>915</v>
      </c>
      <c r="AX38" s="88">
        <v>477</v>
      </c>
      <c r="AY38" s="88">
        <v>422</v>
      </c>
      <c r="AZ38" s="93">
        <v>3550</v>
      </c>
      <c r="BA38" s="372">
        <v>1736</v>
      </c>
      <c r="BB38" s="88">
        <v>915</v>
      </c>
      <c r="BC38" s="88">
        <v>477</v>
      </c>
      <c r="BD38" s="88">
        <v>430</v>
      </c>
      <c r="BE38" s="88">
        <v>430</v>
      </c>
      <c r="BF38" s="88">
        <v>3558</v>
      </c>
      <c r="BG38" s="88">
        <v>3558</v>
      </c>
      <c r="BH38" s="88">
        <v>3160</v>
      </c>
      <c r="BI38" s="88">
        <v>1202</v>
      </c>
      <c r="BJ38" s="88">
        <v>1202</v>
      </c>
      <c r="BK38" s="88">
        <v>1265</v>
      </c>
      <c r="BL38" s="88">
        <v>1265</v>
      </c>
      <c r="BM38" s="88">
        <v>1284</v>
      </c>
      <c r="BN38" s="88">
        <v>6911</v>
      </c>
      <c r="BO38" s="88">
        <v>704</v>
      </c>
      <c r="BP38" s="88">
        <v>478</v>
      </c>
      <c r="BQ38" s="88">
        <v>775</v>
      </c>
      <c r="BR38" s="88">
        <v>2157</v>
      </c>
      <c r="BS38" s="542">
        <v>4114</v>
      </c>
    </row>
    <row r="39" spans="1:71" ht="12.75">
      <c r="A39" s="111" t="s">
        <v>164</v>
      </c>
      <c r="B39" s="88"/>
      <c r="C39" s="88">
        <v>-12160</v>
      </c>
      <c r="D39" s="88"/>
      <c r="E39" s="88">
        <v>-1547</v>
      </c>
      <c r="F39" s="93">
        <v>-13707</v>
      </c>
      <c r="G39" s="88"/>
      <c r="H39" s="88"/>
      <c r="I39" s="88"/>
      <c r="J39" s="88"/>
      <c r="K39" s="93"/>
      <c r="L39" s="88">
        <v>-45185</v>
      </c>
      <c r="M39" s="88">
        <v>-1080</v>
      </c>
      <c r="N39" s="88"/>
      <c r="O39" s="88">
        <v>34454</v>
      </c>
      <c r="P39" s="93">
        <v>-11811</v>
      </c>
      <c r="Q39" s="88">
        <v>-67767</v>
      </c>
      <c r="R39" s="88"/>
      <c r="S39" s="88">
        <v>-5545</v>
      </c>
      <c r="T39" s="88">
        <v>1611</v>
      </c>
      <c r="U39" s="93">
        <v>-71701</v>
      </c>
      <c r="V39" s="88">
        <v>-25383</v>
      </c>
      <c r="W39" s="88">
        <v>-2896</v>
      </c>
      <c r="X39" s="88">
        <v>-3113</v>
      </c>
      <c r="Y39" s="88">
        <v>-38</v>
      </c>
      <c r="Z39" s="93">
        <v>-31430</v>
      </c>
      <c r="AA39" s="88">
        <v>0</v>
      </c>
      <c r="AB39" s="88">
        <v>0</v>
      </c>
      <c r="AC39" s="88">
        <v>0</v>
      </c>
      <c r="AD39" s="88">
        <f t="shared" si="0"/>
        <v>-42462</v>
      </c>
      <c r="AE39" s="93">
        <v>-42462</v>
      </c>
      <c r="AF39" s="88">
        <v>-51358</v>
      </c>
      <c r="AG39" s="88">
        <v>-7318</v>
      </c>
      <c r="AH39" s="88">
        <v>-2147</v>
      </c>
      <c r="AI39" s="88">
        <v>-128982</v>
      </c>
      <c r="AJ39" s="93">
        <v>-189805</v>
      </c>
      <c r="AK39" s="88">
        <v>-4681</v>
      </c>
      <c r="AL39" s="88">
        <v>-6985</v>
      </c>
      <c r="AM39" s="88">
        <v>-96</v>
      </c>
      <c r="AN39" s="88">
        <v>-162</v>
      </c>
      <c r="AO39" s="93">
        <v>-11924</v>
      </c>
      <c r="AP39" s="168" t="s">
        <v>326</v>
      </c>
      <c r="AQ39" s="168" t="s">
        <v>296</v>
      </c>
      <c r="AR39" s="88">
        <v>-6766</v>
      </c>
      <c r="AS39" s="88" t="s">
        <v>326</v>
      </c>
      <c r="AT39" s="93">
        <v>-6766</v>
      </c>
      <c r="AU39" s="101">
        <v>-6666</v>
      </c>
      <c r="AV39" s="168"/>
      <c r="AW39" s="168">
        <v>-277</v>
      </c>
      <c r="AX39" s="168"/>
      <c r="AY39" s="168">
        <v>-264</v>
      </c>
      <c r="AZ39" s="93">
        <v>-541</v>
      </c>
      <c r="BA39" s="374"/>
      <c r="BB39" s="168">
        <v>-277</v>
      </c>
      <c r="BC39" s="168"/>
      <c r="BD39" s="168">
        <v>-264</v>
      </c>
      <c r="BE39" s="168">
        <v>-264</v>
      </c>
      <c r="BF39" s="168">
        <v>-541</v>
      </c>
      <c r="BG39" s="168">
        <v>-541</v>
      </c>
      <c r="BH39" s="168">
        <v>-3885</v>
      </c>
      <c r="BI39" s="168">
        <v>-21429</v>
      </c>
      <c r="BJ39" s="168">
        <v>-21429</v>
      </c>
      <c r="BK39" s="168"/>
      <c r="BL39" s="168" t="s">
        <v>326</v>
      </c>
      <c r="BM39" s="168"/>
      <c r="BN39" s="168">
        <v>-25314</v>
      </c>
      <c r="BO39" s="168"/>
      <c r="BP39" s="168"/>
      <c r="BQ39" s="168">
        <v>-63</v>
      </c>
      <c r="BR39" s="168">
        <v>875</v>
      </c>
      <c r="BS39" s="543">
        <v>-21548</v>
      </c>
    </row>
    <row r="40" spans="1:71" ht="12.75">
      <c r="A40" s="111" t="s">
        <v>165</v>
      </c>
      <c r="B40" s="88"/>
      <c r="C40" s="88"/>
      <c r="D40" s="88"/>
      <c r="E40" s="88"/>
      <c r="F40" s="93"/>
      <c r="G40" s="88"/>
      <c r="H40" s="88"/>
      <c r="I40" s="88"/>
      <c r="J40" s="88"/>
      <c r="K40" s="93"/>
      <c r="L40" s="88"/>
      <c r="M40" s="88">
        <v>0</v>
      </c>
      <c r="N40" s="88"/>
      <c r="O40" s="88">
        <v>-22517</v>
      </c>
      <c r="P40" s="93">
        <v>-22517</v>
      </c>
      <c r="Q40" s="88"/>
      <c r="R40" s="88"/>
      <c r="S40" s="88">
        <v>-627</v>
      </c>
      <c r="T40" s="88">
        <v>120</v>
      </c>
      <c r="U40" s="93">
        <v>-507</v>
      </c>
      <c r="V40" s="88">
        <v>-712</v>
      </c>
      <c r="W40" s="88"/>
      <c r="X40" s="88"/>
      <c r="Y40" s="88"/>
      <c r="Z40" s="93">
        <v>-712</v>
      </c>
      <c r="AA40" s="88">
        <v>0</v>
      </c>
      <c r="AB40" s="88">
        <v>0</v>
      </c>
      <c r="AC40" s="88">
        <v>0</v>
      </c>
      <c r="AD40" s="88">
        <f t="shared" si="0"/>
        <v>0</v>
      </c>
      <c r="AE40" s="93">
        <v>0</v>
      </c>
      <c r="AF40" s="88">
        <v>-4459</v>
      </c>
      <c r="AG40" s="88">
        <v>-85</v>
      </c>
      <c r="AH40" s="88">
        <v>0</v>
      </c>
      <c r="AI40" s="88">
        <v>2591</v>
      </c>
      <c r="AJ40" s="93">
        <v>-1953</v>
      </c>
      <c r="AK40" s="88" t="s">
        <v>294</v>
      </c>
      <c r="AL40" s="88" t="s">
        <v>294</v>
      </c>
      <c r="AM40" s="88" t="s">
        <v>326</v>
      </c>
      <c r="AN40" s="168" t="s">
        <v>326</v>
      </c>
      <c r="AO40" s="169" t="s">
        <v>296</v>
      </c>
      <c r="AP40" s="88"/>
      <c r="AQ40" s="88"/>
      <c r="AR40" s="88"/>
      <c r="AS40" s="88"/>
      <c r="AT40" s="93"/>
      <c r="AU40" s="101"/>
      <c r="AV40" s="88"/>
      <c r="AW40" s="88"/>
      <c r="AX40" s="88"/>
      <c r="AY40" s="88">
        <v>0</v>
      </c>
      <c r="AZ40" s="169"/>
      <c r="BA40" s="372"/>
      <c r="BB40" s="88"/>
      <c r="BC40" s="88"/>
      <c r="BD40" s="88"/>
      <c r="BE40" s="88">
        <v>0</v>
      </c>
      <c r="BF40" s="88"/>
      <c r="BG40" s="88"/>
      <c r="BH40" s="88"/>
      <c r="BI40" s="88"/>
      <c r="BJ40" s="88"/>
      <c r="BK40" s="88"/>
      <c r="BL40" s="88"/>
      <c r="BM40" s="88"/>
      <c r="BN40" s="88"/>
      <c r="BO40" s="168"/>
      <c r="BP40" s="168"/>
      <c r="BQ40" s="168">
        <v>0</v>
      </c>
      <c r="BR40" s="168"/>
      <c r="BS40" s="168"/>
    </row>
    <row r="41" spans="1:71" ht="12.75">
      <c r="A41" s="110" t="s">
        <v>166</v>
      </c>
      <c r="B41" s="88"/>
      <c r="C41" s="88">
        <v>-129</v>
      </c>
      <c r="D41" s="88"/>
      <c r="E41" s="88">
        <v>-88</v>
      </c>
      <c r="F41" s="93">
        <v>-217</v>
      </c>
      <c r="G41" s="88"/>
      <c r="H41" s="88"/>
      <c r="I41" s="88"/>
      <c r="J41" s="88"/>
      <c r="K41" s="93"/>
      <c r="L41" s="88"/>
      <c r="M41" s="88">
        <v>-241</v>
      </c>
      <c r="N41" s="88">
        <v>-1171</v>
      </c>
      <c r="O41" s="88">
        <v>1171</v>
      </c>
      <c r="P41" s="93">
        <v>-241</v>
      </c>
      <c r="Q41" s="88"/>
      <c r="R41" s="88"/>
      <c r="S41" s="88">
        <v>-490</v>
      </c>
      <c r="T41" s="88">
        <v>-1497</v>
      </c>
      <c r="U41" s="93">
        <v>-1987</v>
      </c>
      <c r="V41" s="88"/>
      <c r="W41" s="88"/>
      <c r="X41" s="88"/>
      <c r="Y41" s="88">
        <v>-20000</v>
      </c>
      <c r="Z41" s="93">
        <v>-20000</v>
      </c>
      <c r="AA41" s="88">
        <v>0</v>
      </c>
      <c r="AB41" s="88">
        <v>-289</v>
      </c>
      <c r="AC41" s="88">
        <v>0</v>
      </c>
      <c r="AD41" s="88">
        <f t="shared" si="0"/>
        <v>289</v>
      </c>
      <c r="AE41" s="93">
        <v>0</v>
      </c>
      <c r="AF41" s="88" t="s">
        <v>294</v>
      </c>
      <c r="AG41" s="88">
        <v>-2</v>
      </c>
      <c r="AH41" s="88">
        <v>-53</v>
      </c>
      <c r="AI41" s="88">
        <v>-409</v>
      </c>
      <c r="AJ41" s="93">
        <v>-464</v>
      </c>
      <c r="AK41" s="88" t="s">
        <v>294</v>
      </c>
      <c r="AL41" s="88" t="s">
        <v>294</v>
      </c>
      <c r="AM41" s="88" t="s">
        <v>326</v>
      </c>
      <c r="AN41" s="88">
        <v>-227262</v>
      </c>
      <c r="AO41" s="93">
        <v>-227262</v>
      </c>
      <c r="AP41" s="88"/>
      <c r="AQ41" s="88"/>
      <c r="AR41" s="106"/>
      <c r="AS41" s="88"/>
      <c r="AT41" s="93"/>
      <c r="AU41" s="101">
        <v>-1066</v>
      </c>
      <c r="AV41" s="88">
        <v>-532</v>
      </c>
      <c r="AW41" s="88">
        <v>-670</v>
      </c>
      <c r="AX41" s="88">
        <v>68</v>
      </c>
      <c r="AY41" s="88">
        <v>-769</v>
      </c>
      <c r="AZ41" s="93">
        <v>-1903</v>
      </c>
      <c r="BA41" s="372">
        <v>-532</v>
      </c>
      <c r="BB41" s="88">
        <v>-670</v>
      </c>
      <c r="BC41" s="88"/>
      <c r="BD41" s="88">
        <v>-968</v>
      </c>
      <c r="BE41" s="88">
        <v>-968</v>
      </c>
      <c r="BF41" s="88">
        <v>-2102</v>
      </c>
      <c r="BG41" s="88">
        <v>-2102</v>
      </c>
      <c r="BH41" s="88">
        <v>-795</v>
      </c>
      <c r="BI41" s="88">
        <v>-425</v>
      </c>
      <c r="BJ41" s="88">
        <v>-425</v>
      </c>
      <c r="BK41" s="88">
        <v>-480</v>
      </c>
      <c r="BL41" s="88">
        <v>-480</v>
      </c>
      <c r="BM41" s="88">
        <v>5</v>
      </c>
      <c r="BN41" s="88">
        <v>-1695</v>
      </c>
      <c r="BO41" s="88">
        <v>-905</v>
      </c>
      <c r="BP41" s="88">
        <v>-89</v>
      </c>
      <c r="BQ41" s="88">
        <v>38</v>
      </c>
      <c r="BR41" s="88">
        <v>15</v>
      </c>
      <c r="BS41" s="88">
        <v>-941</v>
      </c>
    </row>
    <row r="42" spans="1:71" ht="12.75">
      <c r="A42" s="110" t="s">
        <v>167</v>
      </c>
      <c r="B42" s="88">
        <v>443</v>
      </c>
      <c r="C42" s="88">
        <v>5918</v>
      </c>
      <c r="D42" s="88"/>
      <c r="E42" s="88">
        <v>10047</v>
      </c>
      <c r="F42" s="93">
        <v>16408</v>
      </c>
      <c r="G42" s="88"/>
      <c r="H42" s="88">
        <v>2609</v>
      </c>
      <c r="I42" s="88">
        <v>12</v>
      </c>
      <c r="J42" s="88">
        <v>2887</v>
      </c>
      <c r="K42" s="93">
        <v>5508</v>
      </c>
      <c r="L42" s="88"/>
      <c r="M42" s="88">
        <v>3323</v>
      </c>
      <c r="N42" s="88">
        <v>17153</v>
      </c>
      <c r="O42" s="88">
        <v>1097</v>
      </c>
      <c r="P42" s="93">
        <v>21573</v>
      </c>
      <c r="Q42" s="88"/>
      <c r="R42" s="88"/>
      <c r="S42" s="88"/>
      <c r="T42" s="88"/>
      <c r="U42" s="93"/>
      <c r="V42" s="88"/>
      <c r="W42" s="88"/>
      <c r="X42" s="88"/>
      <c r="Y42" s="88"/>
      <c r="Z42" s="93">
        <v>0</v>
      </c>
      <c r="AA42" s="88">
        <v>264099</v>
      </c>
      <c r="AB42" s="88">
        <v>0</v>
      </c>
      <c r="AC42" s="88">
        <v>670</v>
      </c>
      <c r="AD42" s="88">
        <f>AE42-AC42-AB42-AA42</f>
        <v>7357</v>
      </c>
      <c r="AE42" s="93">
        <v>272126</v>
      </c>
      <c r="AF42" s="88" t="s">
        <v>294</v>
      </c>
      <c r="AG42" s="88">
        <v>-24099</v>
      </c>
      <c r="AH42" s="88">
        <v>16576</v>
      </c>
      <c r="AI42" s="88">
        <v>55</v>
      </c>
      <c r="AJ42" s="93">
        <v>-7468</v>
      </c>
      <c r="AK42" s="88">
        <v>27215</v>
      </c>
      <c r="AL42" s="88">
        <v>844</v>
      </c>
      <c r="AM42" s="88" t="s">
        <v>326</v>
      </c>
      <c r="AN42" s="88">
        <v>570</v>
      </c>
      <c r="AO42" s="93">
        <v>28629</v>
      </c>
      <c r="AP42" s="168" t="s">
        <v>326</v>
      </c>
      <c r="AQ42" s="168" t="s">
        <v>296</v>
      </c>
      <c r="AR42" s="88">
        <v>9274</v>
      </c>
      <c r="AS42" s="88">
        <v>-5124</v>
      </c>
      <c r="AT42" s="93">
        <v>4150</v>
      </c>
      <c r="AU42" s="101">
        <v>19166</v>
      </c>
      <c r="AV42" s="168"/>
      <c r="AW42" s="168"/>
      <c r="AX42" s="168">
        <v>-1513</v>
      </c>
      <c r="AY42" s="168">
        <v>0</v>
      </c>
      <c r="AZ42" s="93">
        <v>0</v>
      </c>
      <c r="BA42" s="374"/>
      <c r="BB42" s="168"/>
      <c r="BC42" s="168"/>
      <c r="BD42" s="168"/>
      <c r="BE42" s="168">
        <v>0</v>
      </c>
      <c r="BF42" s="168">
        <v>-1513</v>
      </c>
      <c r="BG42" s="168">
        <v>-1513</v>
      </c>
      <c r="BH42" s="168"/>
      <c r="BI42" s="168">
        <v>805</v>
      </c>
      <c r="BJ42" s="168">
        <v>805</v>
      </c>
      <c r="BK42" s="168"/>
      <c r="BL42" s="168"/>
      <c r="BM42" s="168"/>
      <c r="BN42" s="168">
        <v>805</v>
      </c>
      <c r="BO42" s="168"/>
      <c r="BP42" s="168"/>
      <c r="BQ42" s="168">
        <v>200</v>
      </c>
      <c r="BR42" s="168">
        <v>-772</v>
      </c>
      <c r="BS42" s="168">
        <v>-572</v>
      </c>
    </row>
    <row r="43" spans="1:71" ht="12.75">
      <c r="A43" s="110" t="s">
        <v>228</v>
      </c>
      <c r="B43" s="88"/>
      <c r="C43" s="88"/>
      <c r="D43" s="88"/>
      <c r="E43" s="88"/>
      <c r="F43" s="93"/>
      <c r="G43" s="88">
        <v>-34</v>
      </c>
      <c r="H43" s="88">
        <v>37</v>
      </c>
      <c r="I43" s="88">
        <v>-214</v>
      </c>
      <c r="J43" s="88">
        <v>-1069</v>
      </c>
      <c r="K43" s="93">
        <v>-1280</v>
      </c>
      <c r="L43" s="88"/>
      <c r="M43" s="88"/>
      <c r="N43" s="88"/>
      <c r="O43" s="88">
        <v>-113729</v>
      </c>
      <c r="P43" s="93">
        <v>-113729</v>
      </c>
      <c r="Q43" s="88"/>
      <c r="R43" s="88"/>
      <c r="S43" s="88"/>
      <c r="T43" s="88"/>
      <c r="U43" s="93"/>
      <c r="V43" s="88"/>
      <c r="W43" s="88"/>
      <c r="X43" s="88"/>
      <c r="Y43" s="88"/>
      <c r="Z43" s="93"/>
      <c r="AA43" s="88"/>
      <c r="AB43" s="88"/>
      <c r="AC43" s="88"/>
      <c r="AD43" s="88">
        <f t="shared" si="0"/>
        <v>3187</v>
      </c>
      <c r="AE43" s="93">
        <v>3187</v>
      </c>
      <c r="AF43" s="88"/>
      <c r="AG43" s="88">
        <v>0</v>
      </c>
      <c r="AH43" s="88">
        <v>0</v>
      </c>
      <c r="AI43" s="88"/>
      <c r="AJ43" s="93"/>
      <c r="AK43" s="88"/>
      <c r="AL43" s="88">
        <v>501</v>
      </c>
      <c r="AM43" s="88" t="s">
        <v>326</v>
      </c>
      <c r="AN43" s="168"/>
      <c r="AO43" s="93">
        <v>501</v>
      </c>
      <c r="AP43" s="168">
        <v>-58</v>
      </c>
      <c r="AQ43" s="168">
        <v>-143</v>
      </c>
      <c r="AR43" s="88">
        <v>-605</v>
      </c>
      <c r="AS43" s="88">
        <v>-172</v>
      </c>
      <c r="AT43" s="93">
        <v>-978</v>
      </c>
      <c r="AU43" s="101">
        <v>4150</v>
      </c>
      <c r="AV43" s="168"/>
      <c r="AW43" s="168"/>
      <c r="AX43" s="168"/>
      <c r="AY43" s="168">
        <v>0</v>
      </c>
      <c r="AZ43" s="93">
        <v>-1513</v>
      </c>
      <c r="BA43" s="374"/>
      <c r="BB43" s="168"/>
      <c r="BC43" s="168">
        <v>68</v>
      </c>
      <c r="BD43" s="168"/>
      <c r="BE43" s="168">
        <v>0</v>
      </c>
      <c r="BF43" s="168"/>
      <c r="BG43" s="168"/>
      <c r="BH43" s="168"/>
      <c r="BI43" s="168"/>
      <c r="BJ43" s="168"/>
      <c r="BK43" s="168"/>
      <c r="BL43" s="168"/>
      <c r="BM43" s="168"/>
      <c r="BN43" s="168"/>
      <c r="BO43" s="168"/>
      <c r="BP43" s="168"/>
      <c r="BQ43" s="168"/>
      <c r="BR43" s="168"/>
      <c r="BS43" s="168"/>
    </row>
    <row r="44" spans="1:71" ht="12.75">
      <c r="A44" s="110" t="s">
        <v>168</v>
      </c>
      <c r="B44" s="88"/>
      <c r="C44" s="88">
        <v>585</v>
      </c>
      <c r="D44" s="88"/>
      <c r="E44" s="88">
        <v>490</v>
      </c>
      <c r="F44" s="93">
        <v>1075</v>
      </c>
      <c r="G44" s="88">
        <v>1794</v>
      </c>
      <c r="H44" s="88">
        <v>-361</v>
      </c>
      <c r="I44" s="88"/>
      <c r="J44" s="88">
        <v>427</v>
      </c>
      <c r="K44" s="93">
        <v>1860</v>
      </c>
      <c r="L44" s="88"/>
      <c r="M44" s="88">
        <v>594</v>
      </c>
      <c r="N44" s="88">
        <v>-117</v>
      </c>
      <c r="O44" s="88">
        <v>2417</v>
      </c>
      <c r="P44" s="93">
        <v>2894</v>
      </c>
      <c r="Q44" s="88">
        <v>11661</v>
      </c>
      <c r="R44" s="88"/>
      <c r="S44" s="88">
        <v>979</v>
      </c>
      <c r="T44" s="88">
        <v>1316</v>
      </c>
      <c r="U44" s="93">
        <v>13956</v>
      </c>
      <c r="V44" s="88"/>
      <c r="W44" s="88">
        <v>58</v>
      </c>
      <c r="X44" s="88"/>
      <c r="Y44" s="88">
        <v>28</v>
      </c>
      <c r="Z44" s="93">
        <v>86</v>
      </c>
      <c r="AA44" s="88">
        <v>0</v>
      </c>
      <c r="AB44" s="88">
        <v>0</v>
      </c>
      <c r="AC44" s="88">
        <v>0</v>
      </c>
      <c r="AD44" s="88">
        <f t="shared" si="0"/>
        <v>0</v>
      </c>
      <c r="AE44" s="93">
        <v>0</v>
      </c>
      <c r="AF44" s="88"/>
      <c r="AG44" s="88">
        <v>0</v>
      </c>
      <c r="AH44" s="88">
        <v>0</v>
      </c>
      <c r="AI44" s="88"/>
      <c r="AJ44" s="93"/>
      <c r="AK44" s="88"/>
      <c r="AL44" s="88"/>
      <c r="AM44" s="88"/>
      <c r="AN44" s="88"/>
      <c r="AO44" s="93"/>
      <c r="AP44" s="168" t="s">
        <v>326</v>
      </c>
      <c r="AQ44" s="168" t="s">
        <v>296</v>
      </c>
      <c r="AR44" s="88"/>
      <c r="AS44" s="88" t="s">
        <v>296</v>
      </c>
      <c r="AT44" s="93" t="s">
        <v>296</v>
      </c>
      <c r="AU44" s="101">
        <v>0</v>
      </c>
      <c r="AV44" s="168">
        <v>350</v>
      </c>
      <c r="AW44" s="168"/>
      <c r="AX44" s="168"/>
      <c r="AY44" s="168">
        <v>280</v>
      </c>
      <c r="AZ44" s="93">
        <v>630</v>
      </c>
      <c r="BA44" s="374">
        <v>350</v>
      </c>
      <c r="BB44" s="168"/>
      <c r="BC44" s="168">
        <v>-1513</v>
      </c>
      <c r="BD44" s="168">
        <v>280</v>
      </c>
      <c r="BE44" s="168">
        <v>280</v>
      </c>
      <c r="BF44" s="168">
        <v>630</v>
      </c>
      <c r="BG44" s="168">
        <v>630</v>
      </c>
      <c r="BH44" s="168"/>
      <c r="BI44" s="168"/>
      <c r="BJ44" s="168"/>
      <c r="BK44" s="168"/>
      <c r="BL44" s="168" t="s">
        <v>326</v>
      </c>
      <c r="BM44" s="168"/>
      <c r="BN44" s="168"/>
      <c r="BO44" s="168"/>
      <c r="BP44" s="168"/>
      <c r="BQ44" s="168">
        <v>191</v>
      </c>
      <c r="BR44" s="168">
        <v>225</v>
      </c>
      <c r="BS44" s="168">
        <v>416</v>
      </c>
    </row>
    <row r="45" spans="1:71" ht="12.75">
      <c r="A45" s="110" t="s">
        <v>169</v>
      </c>
      <c r="B45" s="88">
        <v>-217</v>
      </c>
      <c r="C45" s="88">
        <v>251</v>
      </c>
      <c r="D45" s="88">
        <v>-1337</v>
      </c>
      <c r="E45" s="88">
        <v>821</v>
      </c>
      <c r="F45" s="93">
        <v>-482</v>
      </c>
      <c r="G45" s="88">
        <v>250</v>
      </c>
      <c r="H45" s="88">
        <v>-541</v>
      </c>
      <c r="I45" s="88">
        <v>100</v>
      </c>
      <c r="J45" s="88">
        <v>-1710</v>
      </c>
      <c r="K45" s="93">
        <v>-1901</v>
      </c>
      <c r="L45" s="88">
        <v>-667</v>
      </c>
      <c r="M45" s="88">
        <v>413</v>
      </c>
      <c r="N45" s="88">
        <v>858</v>
      </c>
      <c r="O45" s="88">
        <v>-297</v>
      </c>
      <c r="P45" s="93">
        <v>307</v>
      </c>
      <c r="Q45" s="88">
        <v>2155</v>
      </c>
      <c r="R45" s="88">
        <v>-882</v>
      </c>
      <c r="S45" s="88">
        <v>178</v>
      </c>
      <c r="T45" s="88">
        <v>-865</v>
      </c>
      <c r="U45" s="93">
        <v>586</v>
      </c>
      <c r="V45" s="88">
        <v>355</v>
      </c>
      <c r="W45" s="88">
        <v>-4589</v>
      </c>
      <c r="X45" s="88">
        <v>36</v>
      </c>
      <c r="Y45" s="88">
        <v>237</v>
      </c>
      <c r="Z45" s="93">
        <v>-3961</v>
      </c>
      <c r="AA45" s="88">
        <v>778</v>
      </c>
      <c r="AB45" s="88">
        <v>-1529</v>
      </c>
      <c r="AC45" s="88">
        <v>526</v>
      </c>
      <c r="AD45" s="88">
        <f t="shared" si="0"/>
        <v>1718</v>
      </c>
      <c r="AE45" s="93">
        <v>1493</v>
      </c>
      <c r="AF45" s="88">
        <v>-803</v>
      </c>
      <c r="AG45" s="88">
        <v>792</v>
      </c>
      <c r="AH45" s="88">
        <v>-106</v>
      </c>
      <c r="AI45" s="88">
        <v>138</v>
      </c>
      <c r="AJ45" s="93">
        <v>21</v>
      </c>
      <c r="AK45" s="88">
        <v>-1928</v>
      </c>
      <c r="AL45" s="88">
        <v>1824</v>
      </c>
      <c r="AM45" s="88">
        <v>-38639</v>
      </c>
      <c r="AN45" s="88">
        <v>52114</v>
      </c>
      <c r="AO45" s="93">
        <v>-3273</v>
      </c>
      <c r="AP45" s="88">
        <v>-12630</v>
      </c>
      <c r="AQ45" s="88">
        <v>524</v>
      </c>
      <c r="AR45" s="216">
        <v>-1.319</v>
      </c>
      <c r="AS45" s="88">
        <v>3749</v>
      </c>
      <c r="AT45" s="93">
        <v>-9676</v>
      </c>
      <c r="AU45" s="101">
        <v>-11287</v>
      </c>
      <c r="AV45" s="88">
        <v>-1651</v>
      </c>
      <c r="AW45" s="88">
        <v>15599</v>
      </c>
      <c r="AX45" s="88">
        <v>-371</v>
      </c>
      <c r="AY45" s="88">
        <v>-39</v>
      </c>
      <c r="AZ45" s="93">
        <v>13538</v>
      </c>
      <c r="BA45" s="372">
        <v>-1651</v>
      </c>
      <c r="BB45" s="168">
        <v>15599</v>
      </c>
      <c r="BC45" s="168">
        <v>-371</v>
      </c>
      <c r="BD45" s="88">
        <v>-89</v>
      </c>
      <c r="BE45" s="88">
        <v>-89</v>
      </c>
      <c r="BF45" s="88">
        <v>13488</v>
      </c>
      <c r="BG45" s="88">
        <v>13488</v>
      </c>
      <c r="BH45" s="88"/>
      <c r="BI45" s="88">
        <v>-431</v>
      </c>
      <c r="BJ45" s="88">
        <v>-431</v>
      </c>
      <c r="BK45" s="88">
        <v>11473</v>
      </c>
      <c r="BL45" s="88">
        <v>11473</v>
      </c>
      <c r="BM45" s="88">
        <v>1503</v>
      </c>
      <c r="BN45" s="88">
        <v>12545</v>
      </c>
      <c r="BO45" s="88">
        <v>723</v>
      </c>
      <c r="BP45" s="88">
        <v>1094</v>
      </c>
      <c r="BQ45" s="88">
        <v>373</v>
      </c>
      <c r="BR45" s="542">
        <v>-151</v>
      </c>
      <c r="BS45" s="542">
        <v>2039</v>
      </c>
    </row>
    <row r="46" spans="1:71" ht="12.75">
      <c r="A46" s="110" t="s">
        <v>170</v>
      </c>
      <c r="B46" s="88">
        <v>-5556</v>
      </c>
      <c r="C46" s="88">
        <v>8725</v>
      </c>
      <c r="D46" s="88">
        <v>-3575</v>
      </c>
      <c r="E46" s="88">
        <v>-1232</v>
      </c>
      <c r="F46" s="93">
        <v>-1638</v>
      </c>
      <c r="G46" s="88">
        <v>-15723</v>
      </c>
      <c r="H46" s="88">
        <v>8098</v>
      </c>
      <c r="I46" s="88">
        <v>784</v>
      </c>
      <c r="J46" s="88">
        <v>11175</v>
      </c>
      <c r="K46" s="93">
        <v>4334</v>
      </c>
      <c r="L46" s="88">
        <v>-1929</v>
      </c>
      <c r="M46" s="88">
        <v>-2565</v>
      </c>
      <c r="N46" s="88">
        <v>7523</v>
      </c>
      <c r="O46" s="88">
        <v>-4779</v>
      </c>
      <c r="P46" s="93">
        <v>-1750</v>
      </c>
      <c r="Q46" s="88">
        <v>3528</v>
      </c>
      <c r="R46" s="88">
        <v>4181</v>
      </c>
      <c r="S46" s="88">
        <v>2</v>
      </c>
      <c r="T46" s="88">
        <v>1400</v>
      </c>
      <c r="U46" s="93">
        <v>9111</v>
      </c>
      <c r="V46" s="88">
        <v>-320</v>
      </c>
      <c r="W46" s="88">
        <v>319</v>
      </c>
      <c r="X46" s="88">
        <v>-2</v>
      </c>
      <c r="Y46" s="88">
        <v>3</v>
      </c>
      <c r="Z46" s="93">
        <v>0</v>
      </c>
      <c r="AA46" s="88">
        <v>1</v>
      </c>
      <c r="AB46" s="88">
        <v>41</v>
      </c>
      <c r="AC46" s="88">
        <v>1</v>
      </c>
      <c r="AD46" s="88">
        <f t="shared" si="0"/>
        <v>-155</v>
      </c>
      <c r="AE46" s="93">
        <v>-112</v>
      </c>
      <c r="AF46" s="88">
        <v>-5</v>
      </c>
      <c r="AG46" s="88">
        <v>5</v>
      </c>
      <c r="AH46" s="88">
        <v>0</v>
      </c>
      <c r="AI46" s="88">
        <v>707</v>
      </c>
      <c r="AJ46" s="93">
        <v>707</v>
      </c>
      <c r="AK46" s="88" t="s">
        <v>294</v>
      </c>
      <c r="AL46" s="88">
        <v>-16647</v>
      </c>
      <c r="AM46" s="88">
        <v>-220095</v>
      </c>
      <c r="AN46" s="88">
        <v>209921</v>
      </c>
      <c r="AO46" s="93">
        <v>-10177</v>
      </c>
      <c r="AP46" s="88">
        <v>-15422</v>
      </c>
      <c r="AQ46" s="88">
        <v>-62662</v>
      </c>
      <c r="AR46" s="216">
        <v>72.217</v>
      </c>
      <c r="AS46" s="88">
        <v>2</v>
      </c>
      <c r="AT46" s="93">
        <v>-5865</v>
      </c>
      <c r="AU46" s="101">
        <v>-5865</v>
      </c>
      <c r="AV46" s="88">
        <v>0</v>
      </c>
      <c r="AW46" s="88">
        <v>-26</v>
      </c>
      <c r="AX46" s="88">
        <v>26</v>
      </c>
      <c r="AY46" s="88">
        <v>-5</v>
      </c>
      <c r="AZ46" s="93">
        <v>-5</v>
      </c>
      <c r="BA46" s="372"/>
      <c r="BB46" s="88">
        <v>-26</v>
      </c>
      <c r="BC46" s="88">
        <v>26</v>
      </c>
      <c r="BD46" s="88">
        <v>-5</v>
      </c>
      <c r="BE46" s="88">
        <v>-5</v>
      </c>
      <c r="BF46" s="88">
        <v>-5</v>
      </c>
      <c r="BG46" s="88">
        <v>-5</v>
      </c>
      <c r="BH46" s="88">
        <v>4</v>
      </c>
      <c r="BI46" s="88">
        <v>205</v>
      </c>
      <c r="BJ46" s="88">
        <v>205</v>
      </c>
      <c r="BK46" s="88"/>
      <c r="BL46" s="88" t="s">
        <v>326</v>
      </c>
      <c r="BM46" s="88">
        <v>0</v>
      </c>
      <c r="BN46" s="88">
        <v>209</v>
      </c>
      <c r="BO46" s="88"/>
      <c r="BP46" s="88"/>
      <c r="BQ46" s="88">
        <v>0</v>
      </c>
      <c r="BR46" s="542">
        <v>-28980</v>
      </c>
      <c r="BS46" s="542">
        <v>-28980</v>
      </c>
    </row>
    <row r="47" spans="1:71" ht="12.75">
      <c r="A47" s="110" t="s">
        <v>171</v>
      </c>
      <c r="B47" s="88">
        <v>2279</v>
      </c>
      <c r="C47" s="88">
        <v>3326</v>
      </c>
      <c r="D47" s="88">
        <v>1100</v>
      </c>
      <c r="E47" s="88">
        <v>-2232</v>
      </c>
      <c r="F47" s="93">
        <v>4473</v>
      </c>
      <c r="G47" s="88">
        <v>1482</v>
      </c>
      <c r="H47" s="88">
        <v>1065</v>
      </c>
      <c r="I47" s="88">
        <v>1510</v>
      </c>
      <c r="J47" s="88">
        <v>1732</v>
      </c>
      <c r="K47" s="93">
        <v>5789</v>
      </c>
      <c r="L47" s="88">
        <v>1254</v>
      </c>
      <c r="M47" s="88">
        <v>1539</v>
      </c>
      <c r="N47" s="88">
        <v>1805</v>
      </c>
      <c r="O47" s="88">
        <v>2113</v>
      </c>
      <c r="P47" s="93">
        <v>6711</v>
      </c>
      <c r="Q47" s="88">
        <v>2262</v>
      </c>
      <c r="R47" s="88">
        <v>1545</v>
      </c>
      <c r="S47" s="88">
        <v>1757</v>
      </c>
      <c r="T47" s="88">
        <v>719</v>
      </c>
      <c r="U47" s="93">
        <v>6283</v>
      </c>
      <c r="V47" s="88">
        <v>2092</v>
      </c>
      <c r="W47" s="88">
        <v>179</v>
      </c>
      <c r="X47" s="88">
        <v>648</v>
      </c>
      <c r="Y47" s="88">
        <v>2830</v>
      </c>
      <c r="Z47" s="93">
        <v>5749</v>
      </c>
      <c r="AA47" s="88">
        <v>1196</v>
      </c>
      <c r="AB47" s="88">
        <v>4124</v>
      </c>
      <c r="AC47" s="88">
        <v>3105</v>
      </c>
      <c r="AD47" s="88">
        <f t="shared" si="0"/>
        <v>4212</v>
      </c>
      <c r="AE47" s="93">
        <v>12637</v>
      </c>
      <c r="AF47" s="88">
        <v>5818</v>
      </c>
      <c r="AG47" s="88">
        <v>4897</v>
      </c>
      <c r="AH47" s="88">
        <v>1910</v>
      </c>
      <c r="AI47" s="88">
        <v>1694</v>
      </c>
      <c r="AJ47" s="93">
        <v>14319</v>
      </c>
      <c r="AK47" s="88">
        <v>1879</v>
      </c>
      <c r="AL47" s="88">
        <v>5631</v>
      </c>
      <c r="AM47" s="88">
        <v>4512</v>
      </c>
      <c r="AN47" s="88">
        <v>44680</v>
      </c>
      <c r="AO47" s="93">
        <v>56702</v>
      </c>
      <c r="AP47" s="88">
        <v>5010</v>
      </c>
      <c r="AQ47" s="88">
        <v>-819</v>
      </c>
      <c r="AR47" s="216">
        <v>4.542</v>
      </c>
      <c r="AS47" s="88">
        <v>3338</v>
      </c>
      <c r="AT47" s="93">
        <v>12071</v>
      </c>
      <c r="AU47" s="101">
        <v>11228</v>
      </c>
      <c r="AV47" s="88">
        <v>1542</v>
      </c>
      <c r="AW47" s="88">
        <v>5853</v>
      </c>
      <c r="AX47" s="88">
        <v>2788</v>
      </c>
      <c r="AY47" s="88">
        <v>-1010</v>
      </c>
      <c r="AZ47" s="93">
        <v>9173</v>
      </c>
      <c r="BA47" s="372">
        <v>1542</v>
      </c>
      <c r="BB47" s="88">
        <v>5853</v>
      </c>
      <c r="BC47" s="88">
        <v>2788</v>
      </c>
      <c r="BD47" s="88">
        <v>-990</v>
      </c>
      <c r="BE47" s="88">
        <v>-1274</v>
      </c>
      <c r="BF47" s="88">
        <v>9193</v>
      </c>
      <c r="BG47" s="88">
        <v>8052</v>
      </c>
      <c r="BH47" s="88">
        <v>2064</v>
      </c>
      <c r="BI47" s="88">
        <v>3768</v>
      </c>
      <c r="BJ47" s="88">
        <v>3454</v>
      </c>
      <c r="BK47" s="88">
        <v>5018</v>
      </c>
      <c r="BL47" s="88">
        <v>4721</v>
      </c>
      <c r="BM47" s="88">
        <v>17008</v>
      </c>
      <c r="BN47" s="88">
        <v>27247</v>
      </c>
      <c r="BO47" s="88">
        <v>1850</v>
      </c>
      <c r="BP47" s="88">
        <v>1920</v>
      </c>
      <c r="BQ47" s="88">
        <v>1668</v>
      </c>
      <c r="BR47" s="542">
        <v>1884</v>
      </c>
      <c r="BS47" s="542">
        <v>7322</v>
      </c>
    </row>
    <row r="48" spans="1:71" ht="12.75">
      <c r="A48" s="110" t="s">
        <v>96</v>
      </c>
      <c r="B48" s="88">
        <v>28</v>
      </c>
      <c r="C48" s="88">
        <v>520</v>
      </c>
      <c r="D48" s="88">
        <v>2621</v>
      </c>
      <c r="E48" s="88">
        <v>299</v>
      </c>
      <c r="F48" s="93">
        <v>3468</v>
      </c>
      <c r="G48" s="88">
        <v>0</v>
      </c>
      <c r="H48" s="88">
        <v>2562</v>
      </c>
      <c r="I48" s="88">
        <v>506</v>
      </c>
      <c r="J48" s="88">
        <v>2962</v>
      </c>
      <c r="K48" s="93">
        <v>6030</v>
      </c>
      <c r="L48" s="88">
        <v>77</v>
      </c>
      <c r="M48" s="88">
        <v>1930</v>
      </c>
      <c r="N48" s="88">
        <v>2040</v>
      </c>
      <c r="O48" s="88">
        <v>-207</v>
      </c>
      <c r="P48" s="93">
        <v>3840</v>
      </c>
      <c r="Q48" s="88">
        <v>0</v>
      </c>
      <c r="R48" s="88">
        <v>492</v>
      </c>
      <c r="S48" s="88">
        <v>259</v>
      </c>
      <c r="T48" s="88">
        <v>1086</v>
      </c>
      <c r="U48" s="93">
        <v>1837</v>
      </c>
      <c r="V48" s="88">
        <v>0</v>
      </c>
      <c r="W48" s="88">
        <v>178</v>
      </c>
      <c r="X48" s="88">
        <v>589</v>
      </c>
      <c r="Y48" s="88">
        <v>61</v>
      </c>
      <c r="Z48" s="93">
        <v>828</v>
      </c>
      <c r="AA48" s="88">
        <v>0</v>
      </c>
      <c r="AB48" s="88">
        <v>223</v>
      </c>
      <c r="AC48" s="88">
        <v>590</v>
      </c>
      <c r="AD48" s="88">
        <f t="shared" si="0"/>
        <v>17</v>
      </c>
      <c r="AE48" s="93">
        <v>830</v>
      </c>
      <c r="AF48" s="88" t="s">
        <v>294</v>
      </c>
      <c r="AG48" s="88">
        <v>105</v>
      </c>
      <c r="AH48" s="88">
        <v>1101</v>
      </c>
      <c r="AI48" s="88">
        <v>2</v>
      </c>
      <c r="AJ48" s="93">
        <v>1208</v>
      </c>
      <c r="AK48" s="88" t="s">
        <v>294</v>
      </c>
      <c r="AL48" s="88">
        <v>1922</v>
      </c>
      <c r="AM48" s="88">
        <v>14</v>
      </c>
      <c r="AN48" s="88">
        <v>261</v>
      </c>
      <c r="AO48" s="93">
        <v>2197</v>
      </c>
      <c r="AP48" s="168" t="s">
        <v>326</v>
      </c>
      <c r="AQ48" s="88">
        <v>875</v>
      </c>
      <c r="AR48" s="88">
        <v>14</v>
      </c>
      <c r="AS48" s="88">
        <v>7</v>
      </c>
      <c r="AT48" s="93">
        <v>896</v>
      </c>
      <c r="AU48" s="101">
        <v>896</v>
      </c>
      <c r="AV48" s="168">
        <v>104</v>
      </c>
      <c r="AW48" s="168">
        <v>635</v>
      </c>
      <c r="AX48" s="168">
        <v>85</v>
      </c>
      <c r="AY48" s="168">
        <v>3535</v>
      </c>
      <c r="AZ48" s="93">
        <v>4359</v>
      </c>
      <c r="BA48" s="374">
        <v>104</v>
      </c>
      <c r="BB48" s="88">
        <v>635</v>
      </c>
      <c r="BC48" s="88">
        <v>85</v>
      </c>
      <c r="BD48" s="168">
        <v>3535</v>
      </c>
      <c r="BE48" s="168">
        <v>3535</v>
      </c>
      <c r="BF48" s="168">
        <v>4359</v>
      </c>
      <c r="BG48" s="168">
        <v>4359</v>
      </c>
      <c r="BH48" s="168">
        <v>35</v>
      </c>
      <c r="BI48" s="168">
        <v>4970</v>
      </c>
      <c r="BJ48" s="168">
        <v>4970</v>
      </c>
      <c r="BK48" s="168">
        <v>310</v>
      </c>
      <c r="BL48" s="168">
        <v>310</v>
      </c>
      <c r="BM48" s="168">
        <v>19</v>
      </c>
      <c r="BN48" s="168">
        <v>5334</v>
      </c>
      <c r="BO48" s="168">
        <v>42</v>
      </c>
      <c r="BP48" s="168">
        <v>9553</v>
      </c>
      <c r="BQ48" s="168">
        <v>14</v>
      </c>
      <c r="BR48" s="543">
        <v>135</v>
      </c>
      <c r="BS48" s="543">
        <v>9744</v>
      </c>
    </row>
    <row r="49" spans="1:71" ht="12.75">
      <c r="A49" s="107" t="s">
        <v>172</v>
      </c>
      <c r="B49" s="96">
        <v>-3787</v>
      </c>
      <c r="C49" s="96">
        <v>-3892</v>
      </c>
      <c r="D49" s="96">
        <v>-19695</v>
      </c>
      <c r="E49" s="96">
        <v>-17969</v>
      </c>
      <c r="F49" s="97">
        <v>-45343</v>
      </c>
      <c r="G49" s="96">
        <v>-18820</v>
      </c>
      <c r="H49" s="96">
        <v>-1135</v>
      </c>
      <c r="I49" s="96">
        <v>-15646</v>
      </c>
      <c r="J49" s="96">
        <v>-29612</v>
      </c>
      <c r="K49" s="97">
        <v>-65213</v>
      </c>
      <c r="L49" s="96">
        <v>-61860</v>
      </c>
      <c r="M49" s="96">
        <v>-26179</v>
      </c>
      <c r="N49" s="96">
        <v>-26485</v>
      </c>
      <c r="O49" s="96">
        <v>-184005</v>
      </c>
      <c r="P49" s="97">
        <v>-298529</v>
      </c>
      <c r="Q49" s="96">
        <v>-86118</v>
      </c>
      <c r="R49" s="96">
        <v>-27985</v>
      </c>
      <c r="S49" s="96">
        <v>-49329</v>
      </c>
      <c r="T49" s="96">
        <v>-61379</v>
      </c>
      <c r="U49" s="97">
        <v>-224811</v>
      </c>
      <c r="V49" s="96">
        <v>-47718</v>
      </c>
      <c r="W49" s="96">
        <v>-46151</v>
      </c>
      <c r="X49" s="96">
        <v>-30515</v>
      </c>
      <c r="Y49" s="96">
        <v>-135077</v>
      </c>
      <c r="Z49" s="97">
        <v>-259461</v>
      </c>
      <c r="AA49" s="96">
        <v>249820</v>
      </c>
      <c r="AB49" s="96">
        <v>-20655</v>
      </c>
      <c r="AC49" s="96">
        <v>-28451</v>
      </c>
      <c r="AD49" s="96">
        <f>AE49-AC49-AB49-AA49</f>
        <v>-89045</v>
      </c>
      <c r="AE49" s="97">
        <v>111669</v>
      </c>
      <c r="AF49" s="96">
        <v>-65535</v>
      </c>
      <c r="AG49" s="96">
        <v>-62841</v>
      </c>
      <c r="AH49" s="96">
        <v>-17038</v>
      </c>
      <c r="AI49" s="96">
        <v>-191564</v>
      </c>
      <c r="AJ49" s="97">
        <v>-336978</v>
      </c>
      <c r="AK49" s="96">
        <v>-39346</v>
      </c>
      <c r="AL49" s="96">
        <v>-87384</v>
      </c>
      <c r="AM49" s="96">
        <v>-334476</v>
      </c>
      <c r="AN49" s="96">
        <v>-12313</v>
      </c>
      <c r="AO49" s="97">
        <v>-473519</v>
      </c>
      <c r="AP49" s="96">
        <v>-91490</v>
      </c>
      <c r="AQ49" s="96">
        <v>-109910</v>
      </c>
      <c r="AR49" s="217">
        <v>-15.202</v>
      </c>
      <c r="AS49" s="96">
        <v>-75104</v>
      </c>
      <c r="AT49" s="97">
        <v>-291706</v>
      </c>
      <c r="AU49" s="291">
        <v>-266658</v>
      </c>
      <c r="AV49" s="96">
        <v>-84031</v>
      </c>
      <c r="AW49" s="96">
        <v>-52336</v>
      </c>
      <c r="AX49" s="96">
        <v>-71231</v>
      </c>
      <c r="AY49" s="96">
        <v>-70185</v>
      </c>
      <c r="AZ49" s="97">
        <v>-277783</v>
      </c>
      <c r="BA49" s="373">
        <v>-84031</v>
      </c>
      <c r="BB49" s="96">
        <v>-52336</v>
      </c>
      <c r="BC49" s="96">
        <v>-71231</v>
      </c>
      <c r="BD49" s="96">
        <v>-68674</v>
      </c>
      <c r="BE49" s="96">
        <v>-71020</v>
      </c>
      <c r="BF49" s="96">
        <v>-276272</v>
      </c>
      <c r="BG49" s="96">
        <v>-279475</v>
      </c>
      <c r="BH49" s="96">
        <v>-48841</v>
      </c>
      <c r="BI49" s="96">
        <v>-45980</v>
      </c>
      <c r="BJ49" s="96">
        <v>-46289</v>
      </c>
      <c r="BK49" s="96">
        <v>-42733</v>
      </c>
      <c r="BL49" s="96">
        <v>-43030</v>
      </c>
      <c r="BM49" s="96">
        <v>-60353</v>
      </c>
      <c r="BN49" s="96">
        <v>-198709</v>
      </c>
      <c r="BO49" s="96">
        <v>-60438</v>
      </c>
      <c r="BP49" s="96">
        <v>-35364</v>
      </c>
      <c r="BQ49" s="96">
        <v>-77713</v>
      </c>
      <c r="BR49" s="96">
        <f>SUM(BR37:BR48)</f>
        <v>-124299</v>
      </c>
      <c r="BS49" s="96">
        <f>SUM(BS37:BS48)</f>
        <v>-297814</v>
      </c>
    </row>
    <row r="50" spans="1:64" ht="12.75">
      <c r="A50" s="115"/>
      <c r="BL50" s="91" t="s">
        <v>326</v>
      </c>
    </row>
    <row r="51" spans="1:71" ht="12.75">
      <c r="A51" s="110" t="s">
        <v>173</v>
      </c>
      <c r="B51" s="88"/>
      <c r="C51" s="88"/>
      <c r="D51" s="88"/>
      <c r="E51" s="88"/>
      <c r="F51" s="93"/>
      <c r="G51" s="88"/>
      <c r="H51" s="88"/>
      <c r="I51" s="88"/>
      <c r="J51" s="88"/>
      <c r="K51" s="93"/>
      <c r="L51" s="88"/>
      <c r="M51" s="88"/>
      <c r="N51" s="88"/>
      <c r="O51" s="88"/>
      <c r="P51" s="93"/>
      <c r="Q51" s="88"/>
      <c r="R51" s="88"/>
      <c r="S51" s="88"/>
      <c r="T51" s="88"/>
      <c r="U51" s="93"/>
      <c r="V51" s="88"/>
      <c r="W51" s="88"/>
      <c r="X51" s="88"/>
      <c r="Y51" s="88"/>
      <c r="Z51" s="93">
        <v>0</v>
      </c>
      <c r="AA51" s="88">
        <v>159174</v>
      </c>
      <c r="AB51" s="88">
        <v>0</v>
      </c>
      <c r="AC51" s="88">
        <v>0</v>
      </c>
      <c r="AD51" s="88">
        <f t="shared" si="0"/>
        <v>0</v>
      </c>
      <c r="AE51" s="93">
        <v>159174</v>
      </c>
      <c r="AF51" s="88"/>
      <c r="AG51" s="88">
        <v>0</v>
      </c>
      <c r="AH51" s="88">
        <v>0</v>
      </c>
      <c r="AI51" s="106"/>
      <c r="AJ51" s="106"/>
      <c r="AK51" s="106"/>
      <c r="AL51" s="106"/>
      <c r="AM51" s="88"/>
      <c r="AN51" s="88"/>
      <c r="AO51" s="93"/>
      <c r="AP51" s="106"/>
      <c r="AQ51" s="106"/>
      <c r="AR51" s="106"/>
      <c r="AS51" s="96"/>
      <c r="AT51" s="93"/>
      <c r="AU51" s="101"/>
      <c r="AV51" s="106"/>
      <c r="AW51" s="106"/>
      <c r="AX51" s="106"/>
      <c r="AY51" s="106"/>
      <c r="AZ51" s="93"/>
      <c r="BA51" s="378"/>
      <c r="BB51" s="106"/>
      <c r="BC51" s="106"/>
      <c r="BD51" s="106"/>
      <c r="BE51" s="106"/>
      <c r="BF51" s="106"/>
      <c r="BG51" s="106"/>
      <c r="BH51" s="106"/>
      <c r="BI51" s="106"/>
      <c r="BJ51" s="106"/>
      <c r="BK51" s="106"/>
      <c r="BL51" s="106"/>
      <c r="BM51" s="106"/>
      <c r="BN51" s="106"/>
      <c r="BO51" s="106"/>
      <c r="BP51" s="106"/>
      <c r="BQ51" s="106"/>
      <c r="BR51" s="106"/>
      <c r="BS51" s="106"/>
    </row>
    <row r="52" spans="1:71" ht="12.75">
      <c r="A52" s="110" t="s">
        <v>174</v>
      </c>
      <c r="B52" s="88"/>
      <c r="C52" s="88"/>
      <c r="D52" s="88"/>
      <c r="E52" s="88"/>
      <c r="F52" s="93"/>
      <c r="G52" s="88">
        <v>14368</v>
      </c>
      <c r="H52" s="88"/>
      <c r="I52" s="88"/>
      <c r="J52" s="88"/>
      <c r="K52" s="93">
        <v>14368</v>
      </c>
      <c r="L52" s="88"/>
      <c r="M52" s="88"/>
      <c r="N52" s="88"/>
      <c r="O52" s="88">
        <v>9200</v>
      </c>
      <c r="P52" s="93">
        <v>9200</v>
      </c>
      <c r="Q52" s="88"/>
      <c r="R52" s="88"/>
      <c r="S52" s="88">
        <v>2250</v>
      </c>
      <c r="T52" s="88">
        <v>350</v>
      </c>
      <c r="U52" s="93">
        <v>2600</v>
      </c>
      <c r="V52" s="88"/>
      <c r="W52" s="88"/>
      <c r="X52" s="88"/>
      <c r="Y52" s="88">
        <v>185933</v>
      </c>
      <c r="Z52" s="93">
        <v>185933</v>
      </c>
      <c r="AA52" s="88">
        <v>0</v>
      </c>
      <c r="AB52" s="88">
        <v>0</v>
      </c>
      <c r="AC52" s="88">
        <v>0</v>
      </c>
      <c r="AD52" s="88">
        <f t="shared" si="0"/>
        <v>0</v>
      </c>
      <c r="AE52" s="93">
        <v>0</v>
      </c>
      <c r="AF52" s="88"/>
      <c r="AG52" s="88">
        <v>0</v>
      </c>
      <c r="AH52" s="88">
        <v>0</v>
      </c>
      <c r="AI52" s="106"/>
      <c r="AJ52" s="106"/>
      <c r="AK52" s="106"/>
      <c r="AL52" s="106"/>
      <c r="AM52" s="88"/>
      <c r="AN52" s="88"/>
      <c r="AO52" s="93"/>
      <c r="AP52" s="106"/>
      <c r="AQ52" s="106"/>
      <c r="AR52" s="106"/>
      <c r="AS52" s="96"/>
      <c r="AT52" s="93"/>
      <c r="AU52" s="101"/>
      <c r="AV52" s="106"/>
      <c r="AW52" s="106">
        <v>195878</v>
      </c>
      <c r="AX52" s="106">
        <v>5008</v>
      </c>
      <c r="AY52" s="106">
        <v>35</v>
      </c>
      <c r="AZ52" s="93">
        <v>200921</v>
      </c>
      <c r="BA52" s="378"/>
      <c r="BB52" s="106">
        <v>195878</v>
      </c>
      <c r="BC52" s="106">
        <v>5008</v>
      </c>
      <c r="BD52" s="106">
        <v>35</v>
      </c>
      <c r="BE52" s="106">
        <v>35</v>
      </c>
      <c r="BF52" s="106">
        <v>200921</v>
      </c>
      <c r="BG52" s="106">
        <v>200921</v>
      </c>
      <c r="BH52" s="106"/>
      <c r="BI52" s="106">
        <v>11000</v>
      </c>
      <c r="BJ52" s="106">
        <v>11000</v>
      </c>
      <c r="BK52" s="106"/>
      <c r="BL52" s="106"/>
      <c r="BM52" s="106"/>
      <c r="BN52" s="106">
        <v>11000</v>
      </c>
      <c r="BO52" s="106"/>
      <c r="BP52" s="106"/>
      <c r="BQ52" s="106">
        <v>109280</v>
      </c>
      <c r="BR52" s="106"/>
      <c r="BS52" s="544">
        <v>109280</v>
      </c>
    </row>
    <row r="53" spans="1:71" ht="12.75">
      <c r="A53" s="110" t="s">
        <v>175</v>
      </c>
      <c r="B53" s="88"/>
      <c r="C53" s="88"/>
      <c r="D53" s="88"/>
      <c r="E53" s="88"/>
      <c r="F53" s="93"/>
      <c r="G53" s="88"/>
      <c r="H53" s="88"/>
      <c r="I53" s="88">
        <v>-4471</v>
      </c>
      <c r="J53" s="88">
        <v>8</v>
      </c>
      <c r="K53" s="93">
        <v>-4463</v>
      </c>
      <c r="L53" s="88">
        <v>18753</v>
      </c>
      <c r="M53" s="88">
        <v>12190</v>
      </c>
      <c r="N53" s="88"/>
      <c r="O53" s="88">
        <v>-30943</v>
      </c>
      <c r="P53" s="93"/>
      <c r="Q53" s="88"/>
      <c r="R53" s="88"/>
      <c r="S53" s="88">
        <v>-800</v>
      </c>
      <c r="T53" s="88"/>
      <c r="U53" s="93">
        <v>-800</v>
      </c>
      <c r="V53" s="88"/>
      <c r="W53" s="88"/>
      <c r="X53" s="88">
        <v>-360</v>
      </c>
      <c r="Y53" s="88"/>
      <c r="Z53" s="93">
        <v>-360</v>
      </c>
      <c r="AA53" s="88">
        <v>0</v>
      </c>
      <c r="AB53" s="88">
        <v>0</v>
      </c>
      <c r="AC53" s="88">
        <v>0</v>
      </c>
      <c r="AD53" s="88">
        <f t="shared" si="0"/>
        <v>0</v>
      </c>
      <c r="AE53" s="93">
        <v>0</v>
      </c>
      <c r="AF53" s="88"/>
      <c r="AG53" s="88">
        <v>0</v>
      </c>
      <c r="AH53" s="88">
        <v>0</v>
      </c>
      <c r="AI53" s="106"/>
      <c r="AJ53" s="106"/>
      <c r="AK53" s="106"/>
      <c r="AL53" s="106"/>
      <c r="AM53" s="88"/>
      <c r="AN53" s="88"/>
      <c r="AO53" s="93"/>
      <c r="AP53" s="106"/>
      <c r="AQ53" s="106"/>
      <c r="AR53" s="106"/>
      <c r="AS53" s="96"/>
      <c r="AT53" s="93"/>
      <c r="AU53" s="101"/>
      <c r="AV53" s="106"/>
      <c r="AW53" s="106"/>
      <c r="AX53" s="106"/>
      <c r="AY53" s="106"/>
      <c r="AZ53" s="93"/>
      <c r="BA53" s="378"/>
      <c r="BB53" s="106"/>
      <c r="BC53" s="106"/>
      <c r="BD53" s="106"/>
      <c r="BE53" s="106"/>
      <c r="BF53" s="106"/>
      <c r="BG53" s="106"/>
      <c r="BH53" s="106"/>
      <c r="BI53" s="106"/>
      <c r="BJ53" s="106"/>
      <c r="BK53" s="106"/>
      <c r="BL53" s="106"/>
      <c r="BM53" s="106"/>
      <c r="BN53" s="106"/>
      <c r="BO53" s="106"/>
      <c r="BP53" s="106">
        <v>-5203</v>
      </c>
      <c r="BQ53" s="106"/>
      <c r="BR53" s="106"/>
      <c r="BS53" s="544">
        <v>-5051</v>
      </c>
    </row>
    <row r="54" spans="1:71" ht="12.75">
      <c r="A54" s="110" t="s">
        <v>230</v>
      </c>
      <c r="B54" s="88"/>
      <c r="C54" s="88"/>
      <c r="D54" s="88"/>
      <c r="E54" s="88">
        <v>13703</v>
      </c>
      <c r="F54" s="93">
        <v>13703</v>
      </c>
      <c r="G54" s="88">
        <v>13680</v>
      </c>
      <c r="H54" s="88">
        <v>2757</v>
      </c>
      <c r="I54" s="88"/>
      <c r="J54" s="88">
        <v>-970</v>
      </c>
      <c r="K54" s="93">
        <v>15467</v>
      </c>
      <c r="L54" s="88"/>
      <c r="M54" s="88"/>
      <c r="N54" s="88"/>
      <c r="O54" s="88"/>
      <c r="P54" s="93"/>
      <c r="Q54" s="88"/>
      <c r="R54" s="88"/>
      <c r="S54" s="88"/>
      <c r="T54" s="88"/>
      <c r="U54" s="93"/>
      <c r="V54" s="88"/>
      <c r="W54" s="88"/>
      <c r="X54" s="88"/>
      <c r="Y54" s="88"/>
      <c r="Z54" s="93"/>
      <c r="AA54" s="88"/>
      <c r="AB54" s="88"/>
      <c r="AC54" s="88"/>
      <c r="AD54" s="88">
        <f t="shared" si="0"/>
        <v>0</v>
      </c>
      <c r="AE54" s="93">
        <v>0</v>
      </c>
      <c r="AF54" s="88"/>
      <c r="AG54" s="88">
        <v>0</v>
      </c>
      <c r="AH54" s="88">
        <v>0</v>
      </c>
      <c r="AI54" s="106"/>
      <c r="AJ54" s="106"/>
      <c r="AK54" s="106"/>
      <c r="AL54" s="106"/>
      <c r="AM54" s="88"/>
      <c r="AN54" s="88"/>
      <c r="AO54" s="93"/>
      <c r="AP54" s="106"/>
      <c r="AQ54" s="106"/>
      <c r="AR54" s="106"/>
      <c r="AS54" s="96"/>
      <c r="AT54" s="93"/>
      <c r="AU54" s="101"/>
      <c r="AV54" s="106"/>
      <c r="AW54" s="106"/>
      <c r="AX54" s="106"/>
      <c r="AY54" s="106"/>
      <c r="AZ54" s="93"/>
      <c r="BA54" s="378"/>
      <c r="BB54" s="106"/>
      <c r="BC54" s="106"/>
      <c r="BD54" s="106"/>
      <c r="BE54" s="106"/>
      <c r="BF54" s="106"/>
      <c r="BG54" s="106"/>
      <c r="BH54" s="106"/>
      <c r="BI54" s="106"/>
      <c r="BJ54" s="106"/>
      <c r="BK54" s="106"/>
      <c r="BL54" s="106"/>
      <c r="BM54" s="106"/>
      <c r="BN54" s="106"/>
      <c r="BO54" s="106"/>
      <c r="BP54" s="106"/>
      <c r="BQ54" s="106"/>
      <c r="BR54" s="106"/>
      <c r="BS54" s="106"/>
    </row>
    <row r="55" spans="1:71" ht="12.75">
      <c r="A55" s="110" t="s">
        <v>176</v>
      </c>
      <c r="B55" s="88"/>
      <c r="C55" s="88"/>
      <c r="D55" s="88"/>
      <c r="E55" s="88"/>
      <c r="F55" s="93"/>
      <c r="G55" s="88"/>
      <c r="H55" s="88"/>
      <c r="I55" s="88"/>
      <c r="J55" s="88"/>
      <c r="K55" s="93"/>
      <c r="L55" s="88">
        <v>-20000</v>
      </c>
      <c r="M55" s="88"/>
      <c r="N55" s="88">
        <v>-7574</v>
      </c>
      <c r="O55" s="88">
        <v>27574</v>
      </c>
      <c r="P55" s="93"/>
      <c r="Q55" s="88">
        <v>-30000</v>
      </c>
      <c r="R55" s="88">
        <v>-3000</v>
      </c>
      <c r="S55" s="88"/>
      <c r="T55" s="88"/>
      <c r="U55" s="93">
        <v>-33000</v>
      </c>
      <c r="V55" s="88"/>
      <c r="W55" s="88">
        <v>-15000</v>
      </c>
      <c r="X55" s="88"/>
      <c r="Y55" s="88"/>
      <c r="Z55" s="93">
        <v>-15000</v>
      </c>
      <c r="AA55" s="88">
        <v>0</v>
      </c>
      <c r="AB55" s="88">
        <v>0</v>
      </c>
      <c r="AC55" s="88">
        <v>0</v>
      </c>
      <c r="AD55" s="88">
        <f t="shared" si="0"/>
        <v>0</v>
      </c>
      <c r="AE55" s="93">
        <v>0</v>
      </c>
      <c r="AF55" s="88"/>
      <c r="AG55" s="88">
        <v>0</v>
      </c>
      <c r="AH55" s="88">
        <v>0</v>
      </c>
      <c r="AI55" s="106"/>
      <c r="AJ55" s="106"/>
      <c r="AK55" s="106"/>
      <c r="AL55" s="106"/>
      <c r="AM55" s="88"/>
      <c r="AN55" s="88"/>
      <c r="AO55" s="93"/>
      <c r="AP55" s="106"/>
      <c r="AQ55" s="106"/>
      <c r="AR55" s="106"/>
      <c r="AS55" s="96"/>
      <c r="AT55" s="93"/>
      <c r="AU55" s="101"/>
      <c r="AV55" s="106"/>
      <c r="AW55" s="106"/>
      <c r="AX55" s="106"/>
      <c r="AY55" s="106"/>
      <c r="AZ55" s="93"/>
      <c r="BA55" s="378"/>
      <c r="BB55" s="106"/>
      <c r="BC55" s="106"/>
      <c r="BD55" s="106"/>
      <c r="BE55" s="106"/>
      <c r="BF55" s="106"/>
      <c r="BG55" s="106"/>
      <c r="BH55" s="106"/>
      <c r="BI55" s="106"/>
      <c r="BJ55" s="106"/>
      <c r="BK55" s="106"/>
      <c r="BL55" s="106"/>
      <c r="BM55" s="106"/>
      <c r="BN55" s="106"/>
      <c r="BO55" s="106"/>
      <c r="BP55" s="106"/>
      <c r="BQ55" s="106"/>
      <c r="BR55" s="106"/>
      <c r="BS55" s="106"/>
    </row>
    <row r="56" spans="1:71" ht="12.75">
      <c r="A56" s="110" t="s">
        <v>177</v>
      </c>
      <c r="B56" s="88">
        <v>9663</v>
      </c>
      <c r="C56" s="88">
        <v>160</v>
      </c>
      <c r="D56" s="88">
        <v>13398</v>
      </c>
      <c r="E56" s="88">
        <v>30716</v>
      </c>
      <c r="F56" s="93">
        <v>53937</v>
      </c>
      <c r="G56" s="88">
        <v>1016</v>
      </c>
      <c r="H56" s="88">
        <v>4476</v>
      </c>
      <c r="I56" s="88">
        <v>40743</v>
      </c>
      <c r="J56" s="88">
        <v>23334</v>
      </c>
      <c r="K56" s="93">
        <v>69569</v>
      </c>
      <c r="L56" s="88">
        <v>36669</v>
      </c>
      <c r="M56" s="88">
        <v>35709</v>
      </c>
      <c r="N56" s="88">
        <v>77020</v>
      </c>
      <c r="O56" s="88">
        <v>247689</v>
      </c>
      <c r="P56" s="93">
        <v>397087</v>
      </c>
      <c r="Q56" s="88">
        <v>24344</v>
      </c>
      <c r="R56" s="88">
        <v>18769</v>
      </c>
      <c r="S56" s="88">
        <v>48226</v>
      </c>
      <c r="T56" s="88">
        <v>104137</v>
      </c>
      <c r="U56" s="93">
        <v>195476</v>
      </c>
      <c r="V56" s="88">
        <v>37076</v>
      </c>
      <c r="W56" s="88">
        <v>191462</v>
      </c>
      <c r="X56" s="88">
        <v>106361</v>
      </c>
      <c r="Y56" s="88">
        <v>115379</v>
      </c>
      <c r="Z56" s="93">
        <v>450278</v>
      </c>
      <c r="AA56" s="88">
        <v>96184</v>
      </c>
      <c r="AB56" s="88">
        <v>335836</v>
      </c>
      <c r="AC56" s="88">
        <v>0</v>
      </c>
      <c r="AD56" s="88">
        <f t="shared" si="0"/>
        <v>0</v>
      </c>
      <c r="AE56" s="93">
        <v>432020</v>
      </c>
      <c r="AF56" s="88" t="s">
        <v>294</v>
      </c>
      <c r="AG56" s="88">
        <v>37454</v>
      </c>
      <c r="AH56" s="88">
        <v>203911</v>
      </c>
      <c r="AI56" s="88">
        <v>303479</v>
      </c>
      <c r="AJ56" s="93">
        <v>544844</v>
      </c>
      <c r="AK56" s="88">
        <v>338630</v>
      </c>
      <c r="AL56" s="88">
        <v>23458</v>
      </c>
      <c r="AM56" s="88">
        <v>627870</v>
      </c>
      <c r="AN56" s="88">
        <v>107267</v>
      </c>
      <c r="AO56" s="93">
        <v>1097225</v>
      </c>
      <c r="AP56" s="88">
        <v>168032</v>
      </c>
      <c r="AQ56" s="88">
        <v>209389</v>
      </c>
      <c r="AR56" s="88">
        <v>12538</v>
      </c>
      <c r="AS56" s="88">
        <v>134272</v>
      </c>
      <c r="AT56" s="93">
        <v>524231</v>
      </c>
      <c r="AU56" s="101">
        <v>524231</v>
      </c>
      <c r="AV56" s="88">
        <v>165638</v>
      </c>
      <c r="AW56" s="88">
        <v>74853</v>
      </c>
      <c r="AX56" s="88">
        <v>97062</v>
      </c>
      <c r="AY56" s="88">
        <v>106957</v>
      </c>
      <c r="AZ56" s="93">
        <v>444510</v>
      </c>
      <c r="BA56" s="372">
        <v>165638</v>
      </c>
      <c r="BB56" s="88">
        <v>74853</v>
      </c>
      <c r="BC56" s="88">
        <v>97062</v>
      </c>
      <c r="BD56" s="88">
        <v>106957</v>
      </c>
      <c r="BE56" s="88">
        <v>106098</v>
      </c>
      <c r="BF56" s="88">
        <v>444510</v>
      </c>
      <c r="BG56" s="88">
        <v>442134</v>
      </c>
      <c r="BH56" s="88">
        <v>8671</v>
      </c>
      <c r="BI56" s="88">
        <v>47754</v>
      </c>
      <c r="BJ56" s="88">
        <v>46685</v>
      </c>
      <c r="BK56" s="88">
        <v>37895.86597692536</v>
      </c>
      <c r="BL56" s="88">
        <v>36812</v>
      </c>
      <c r="BM56" s="88">
        <v>99054</v>
      </c>
      <c r="BN56" s="88">
        <v>191222</v>
      </c>
      <c r="BO56" s="88">
        <v>76377</v>
      </c>
      <c r="BP56" s="88">
        <v>129353</v>
      </c>
      <c r="BQ56" s="88">
        <v>35938</v>
      </c>
      <c r="BR56" s="88">
        <v>23431</v>
      </c>
      <c r="BS56" s="542">
        <v>265099</v>
      </c>
    </row>
    <row r="57" spans="1:71" ht="12.75">
      <c r="A57" s="110" t="s">
        <v>607</v>
      </c>
      <c r="B57" s="88">
        <v>-4736</v>
      </c>
      <c r="C57" s="88">
        <v>-17701</v>
      </c>
      <c r="D57" s="88">
        <v>-5640</v>
      </c>
      <c r="E57" s="88">
        <v>-51108</v>
      </c>
      <c r="F57" s="93">
        <v>-79185</v>
      </c>
      <c r="G57" s="88">
        <v>-77580</v>
      </c>
      <c r="H57" s="88">
        <v>-25935</v>
      </c>
      <c r="I57" s="88">
        <v>-11604</v>
      </c>
      <c r="J57" s="88">
        <v>-43052</v>
      </c>
      <c r="K57" s="93">
        <v>-158171</v>
      </c>
      <c r="L57" s="88">
        <v>-36256</v>
      </c>
      <c r="M57" s="88">
        <v>-33043</v>
      </c>
      <c r="N57" s="88">
        <v>-18774</v>
      </c>
      <c r="O57" s="88">
        <v>-167643</v>
      </c>
      <c r="P57" s="93">
        <v>-255716</v>
      </c>
      <c r="Q57" s="88">
        <v>-88741</v>
      </c>
      <c r="R57" s="88">
        <v>-39538</v>
      </c>
      <c r="S57" s="88">
        <v>-30809</v>
      </c>
      <c r="T57" s="88">
        <v>-79184</v>
      </c>
      <c r="U57" s="93">
        <v>-238272</v>
      </c>
      <c r="V57" s="88">
        <v>-119634</v>
      </c>
      <c r="W57" s="88">
        <v>-112845</v>
      </c>
      <c r="X57" s="88">
        <v>-58853</v>
      </c>
      <c r="Y57" s="88">
        <v>-264731</v>
      </c>
      <c r="Z57" s="93">
        <v>-556063</v>
      </c>
      <c r="AA57" s="88">
        <v>-265305</v>
      </c>
      <c r="AB57" s="88">
        <v>-331661</v>
      </c>
      <c r="AC57" s="88">
        <v>-11363</v>
      </c>
      <c r="AD57" s="88">
        <f t="shared" si="0"/>
        <v>-157</v>
      </c>
      <c r="AE57" s="93">
        <v>-608486</v>
      </c>
      <c r="AF57" s="88">
        <v>-18</v>
      </c>
      <c r="AG57" s="88">
        <v>-37819</v>
      </c>
      <c r="AH57" s="88">
        <v>-28695</v>
      </c>
      <c r="AI57" s="88">
        <v>-142445</v>
      </c>
      <c r="AJ57" s="93">
        <v>-208977</v>
      </c>
      <c r="AK57" s="88">
        <v>-54193</v>
      </c>
      <c r="AL57" s="88">
        <v>-206897</v>
      </c>
      <c r="AM57" s="88">
        <v>-274748</v>
      </c>
      <c r="AN57" s="88">
        <v>-357280</v>
      </c>
      <c r="AO57" s="93">
        <v>-893118</v>
      </c>
      <c r="AP57" s="88">
        <v>-117641</v>
      </c>
      <c r="AQ57" s="88">
        <v>-1266</v>
      </c>
      <c r="AR57" s="88">
        <v>-407335</v>
      </c>
      <c r="AS57" s="88">
        <v>-99379</v>
      </c>
      <c r="AT57" s="93">
        <v>-625621</v>
      </c>
      <c r="AU57" s="101">
        <v>-625621</v>
      </c>
      <c r="AV57" s="88">
        <v>-158722</v>
      </c>
      <c r="AW57" s="88">
        <v>-221053</v>
      </c>
      <c r="AX57" s="88">
        <v>-63830</v>
      </c>
      <c r="AY57" s="88">
        <v>-137094</v>
      </c>
      <c r="AZ57" s="93">
        <v>-580699</v>
      </c>
      <c r="BA57" s="372">
        <v>-158722</v>
      </c>
      <c r="BB57" s="88">
        <v>-221053</v>
      </c>
      <c r="BC57" s="88">
        <v>-63830</v>
      </c>
      <c r="BD57" s="88">
        <v>-137094</v>
      </c>
      <c r="BE57" s="88">
        <v>-137094</v>
      </c>
      <c r="BF57" s="88">
        <v>-580699</v>
      </c>
      <c r="BG57" s="88">
        <v>-580699</v>
      </c>
      <c r="BH57" s="88">
        <v>-79423</v>
      </c>
      <c r="BI57" s="88">
        <v>-43415</v>
      </c>
      <c r="BJ57" s="88">
        <v>-43415</v>
      </c>
      <c r="BK57" s="88">
        <v>-144965.46832614538</v>
      </c>
      <c r="BL57" s="88">
        <v>-144965</v>
      </c>
      <c r="BM57" s="88">
        <v>-36921.531673854624</v>
      </c>
      <c r="BN57" s="88">
        <v>-304725</v>
      </c>
      <c r="BO57" s="88">
        <v>-139900</v>
      </c>
      <c r="BP57" s="88">
        <v>-128080</v>
      </c>
      <c r="BQ57" s="88">
        <v>-141024</v>
      </c>
      <c r="BR57" s="88">
        <v>-1726</v>
      </c>
      <c r="BS57" s="542">
        <v>-410730</v>
      </c>
    </row>
    <row r="58" spans="1:71" ht="12.75">
      <c r="A58" s="110" t="s">
        <v>178</v>
      </c>
      <c r="B58" s="88">
        <v>-211</v>
      </c>
      <c r="C58" s="88">
        <v>4134</v>
      </c>
      <c r="D58" s="88">
        <v>676</v>
      </c>
      <c r="E58" s="88">
        <v>-1066</v>
      </c>
      <c r="F58" s="93">
        <v>3533</v>
      </c>
      <c r="G58" s="88">
        <v>-70</v>
      </c>
      <c r="H58" s="88">
        <v>1015</v>
      </c>
      <c r="I58" s="88">
        <v>3</v>
      </c>
      <c r="J58" s="88">
        <v>-4244</v>
      </c>
      <c r="K58" s="93">
        <v>-3296</v>
      </c>
      <c r="L58" s="88">
        <v>-469</v>
      </c>
      <c r="M58" s="88">
        <v>-4</v>
      </c>
      <c r="N58" s="88">
        <v>358</v>
      </c>
      <c r="O58" s="88">
        <v>600</v>
      </c>
      <c r="P58" s="93">
        <v>485</v>
      </c>
      <c r="Q58" s="88">
        <v>718</v>
      </c>
      <c r="R58" s="88">
        <v>-283</v>
      </c>
      <c r="S58" s="88">
        <v>-52</v>
      </c>
      <c r="T58" s="88">
        <v>-312</v>
      </c>
      <c r="U58" s="93">
        <v>71</v>
      </c>
      <c r="V58" s="88">
        <v>-316</v>
      </c>
      <c r="W58" s="88">
        <v>-288</v>
      </c>
      <c r="X58" s="88">
        <v>-245</v>
      </c>
      <c r="Y58" s="88">
        <v>-620</v>
      </c>
      <c r="Z58" s="93">
        <v>-1469</v>
      </c>
      <c r="AA58" s="88">
        <v>-512</v>
      </c>
      <c r="AB58" s="88">
        <v>351</v>
      </c>
      <c r="AC58" s="88">
        <v>5</v>
      </c>
      <c r="AD58" s="88">
        <f t="shared" si="0"/>
        <v>19</v>
      </c>
      <c r="AE58" s="93">
        <v>-137</v>
      </c>
      <c r="AF58" s="88">
        <v>111</v>
      </c>
      <c r="AG58" s="88">
        <v>3</v>
      </c>
      <c r="AH58" s="88">
        <v>3</v>
      </c>
      <c r="AI58" s="88">
        <v>-84</v>
      </c>
      <c r="AJ58" s="93">
        <v>33</v>
      </c>
      <c r="AK58" s="88">
        <v>-57</v>
      </c>
      <c r="AL58" s="88">
        <v>615</v>
      </c>
      <c r="AM58" s="88">
        <v>-184</v>
      </c>
      <c r="AN58" s="88">
        <v>-301</v>
      </c>
      <c r="AO58" s="93">
        <v>73</v>
      </c>
      <c r="AP58" s="88">
        <v>7</v>
      </c>
      <c r="AQ58" s="88">
        <v>-17</v>
      </c>
      <c r="AR58" s="88">
        <v>-25</v>
      </c>
      <c r="AS58" s="88">
        <v>-426</v>
      </c>
      <c r="AT58" s="93">
        <v>-461</v>
      </c>
      <c r="AU58" s="101">
        <v>130</v>
      </c>
      <c r="AV58" s="88">
        <v>-113</v>
      </c>
      <c r="AW58" s="88">
        <v>80</v>
      </c>
      <c r="AX58" s="88">
        <v>-23</v>
      </c>
      <c r="AY58" s="88">
        <v>199</v>
      </c>
      <c r="AZ58" s="93">
        <v>143</v>
      </c>
      <c r="BA58" s="372">
        <v>-113</v>
      </c>
      <c r="BB58" s="88">
        <v>80</v>
      </c>
      <c r="BC58" s="88">
        <v>-23</v>
      </c>
      <c r="BD58" s="88">
        <v>-263</v>
      </c>
      <c r="BE58" s="88">
        <v>-263</v>
      </c>
      <c r="BF58" s="88">
        <v>-319</v>
      </c>
      <c r="BG58" s="88">
        <v>-319</v>
      </c>
      <c r="BH58" s="88">
        <v>-95</v>
      </c>
      <c r="BI58" s="88">
        <v>85</v>
      </c>
      <c r="BJ58" s="88">
        <v>85</v>
      </c>
      <c r="BK58" s="88">
        <v>-270</v>
      </c>
      <c r="BL58" s="88">
        <v>-270</v>
      </c>
      <c r="BM58" s="88">
        <v>-488</v>
      </c>
      <c r="BN58" s="88">
        <v>-768</v>
      </c>
      <c r="BO58" s="88">
        <v>-275</v>
      </c>
      <c r="BP58" s="88">
        <v>-12</v>
      </c>
      <c r="BQ58" s="88">
        <v>50</v>
      </c>
      <c r="BR58" s="88">
        <v>10</v>
      </c>
      <c r="BS58" s="542">
        <v>-227</v>
      </c>
    </row>
    <row r="59" spans="1:71" ht="12.75">
      <c r="A59" s="110" t="s">
        <v>179</v>
      </c>
      <c r="B59" s="88">
        <v>-3952</v>
      </c>
      <c r="C59" s="88">
        <v>25720</v>
      </c>
      <c r="D59" s="88">
        <v>21825</v>
      </c>
      <c r="E59" s="88">
        <v>-5276</v>
      </c>
      <c r="F59" s="93">
        <v>38317</v>
      </c>
      <c r="G59" s="88">
        <v>-2751</v>
      </c>
      <c r="H59" s="88">
        <v>-6639</v>
      </c>
      <c r="I59" s="88">
        <v>15220</v>
      </c>
      <c r="J59" s="88">
        <v>-7083</v>
      </c>
      <c r="K59" s="93">
        <v>-1253</v>
      </c>
      <c r="L59" s="88">
        <v>-6144</v>
      </c>
      <c r="M59" s="88">
        <v>-15035</v>
      </c>
      <c r="N59" s="88">
        <v>7972</v>
      </c>
      <c r="O59" s="88">
        <v>3975</v>
      </c>
      <c r="P59" s="93">
        <v>-9232</v>
      </c>
      <c r="Q59" s="88">
        <v>78573</v>
      </c>
      <c r="R59" s="88">
        <v>6057</v>
      </c>
      <c r="S59" s="88">
        <v>519</v>
      </c>
      <c r="T59" s="88">
        <v>-61304</v>
      </c>
      <c r="U59" s="93">
        <v>23845</v>
      </c>
      <c r="V59" s="88">
        <v>6615</v>
      </c>
      <c r="W59" s="88">
        <v>-58539</v>
      </c>
      <c r="X59" s="88">
        <v>1412</v>
      </c>
      <c r="Y59" s="88">
        <v>-5413</v>
      </c>
      <c r="Z59" s="93">
        <v>-55925</v>
      </c>
      <c r="AA59" s="88">
        <v>2244</v>
      </c>
      <c r="AB59" s="88">
        <v>30024</v>
      </c>
      <c r="AC59" s="88">
        <v>1125</v>
      </c>
      <c r="AD59" s="88">
        <f t="shared" si="0"/>
        <v>398</v>
      </c>
      <c r="AE59" s="93">
        <v>33791</v>
      </c>
      <c r="AF59" s="88">
        <v>1366</v>
      </c>
      <c r="AG59" s="88">
        <v>-1716</v>
      </c>
      <c r="AH59" s="88">
        <v>-1177</v>
      </c>
      <c r="AI59" s="88">
        <v>2648</v>
      </c>
      <c r="AJ59" s="93">
        <v>1121</v>
      </c>
      <c r="AK59" s="88">
        <v>18732</v>
      </c>
      <c r="AL59" s="88">
        <v>43583</v>
      </c>
      <c r="AM59" s="88">
        <v>-38698</v>
      </c>
      <c r="AN59" s="88">
        <v>-10472</v>
      </c>
      <c r="AO59" s="93">
        <v>13145</v>
      </c>
      <c r="AP59" s="88">
        <v>30573</v>
      </c>
      <c r="AQ59" s="88">
        <v>30767</v>
      </c>
      <c r="AR59" s="88">
        <v>36948</v>
      </c>
      <c r="AS59" s="88">
        <v>-128101</v>
      </c>
      <c r="AT59" s="93">
        <v>-29813</v>
      </c>
      <c r="AU59" s="101">
        <v>-28483</v>
      </c>
      <c r="AV59" s="88">
        <v>143855</v>
      </c>
      <c r="AW59" s="88">
        <v>-110407</v>
      </c>
      <c r="AX59" s="88">
        <v>94770</v>
      </c>
      <c r="AY59" s="88">
        <v>-107349</v>
      </c>
      <c r="AZ59" s="93">
        <v>20869</v>
      </c>
      <c r="BA59" s="372">
        <v>143855</v>
      </c>
      <c r="BB59" s="88">
        <v>-110407</v>
      </c>
      <c r="BC59" s="88">
        <v>94770</v>
      </c>
      <c r="BD59" s="88">
        <v>-108232</v>
      </c>
      <c r="BE59" s="88">
        <v>-108232</v>
      </c>
      <c r="BF59" s="88">
        <v>19986</v>
      </c>
      <c r="BG59" s="88">
        <v>19986</v>
      </c>
      <c r="BH59" s="88">
        <v>171825</v>
      </c>
      <c r="BI59" s="88">
        <v>-23678</v>
      </c>
      <c r="BJ59" s="88">
        <v>-23678</v>
      </c>
      <c r="BK59" s="88">
        <v>-69072.39765077998</v>
      </c>
      <c r="BL59" s="88">
        <v>-69072</v>
      </c>
      <c r="BM59" s="88">
        <v>-87587.60234922002</v>
      </c>
      <c r="BN59" s="88">
        <v>-8513</v>
      </c>
      <c r="BO59" s="88">
        <v>61007</v>
      </c>
      <c r="BP59" s="88">
        <v>-37779</v>
      </c>
      <c r="BQ59" s="88">
        <v>-19655</v>
      </c>
      <c r="BR59" s="542">
        <v>12094</v>
      </c>
      <c r="BS59" s="542">
        <v>15515</v>
      </c>
    </row>
    <row r="60" spans="1:71" ht="12.75">
      <c r="A60" s="110" t="s">
        <v>180</v>
      </c>
      <c r="B60" s="88">
        <v>-13527</v>
      </c>
      <c r="C60" s="88">
        <v>-5123</v>
      </c>
      <c r="D60" s="88">
        <v>-8417</v>
      </c>
      <c r="E60" s="88">
        <v>-1564</v>
      </c>
      <c r="F60" s="93">
        <v>-28631</v>
      </c>
      <c r="G60" s="88">
        <v>-4245</v>
      </c>
      <c r="H60" s="88">
        <v>-6102</v>
      </c>
      <c r="I60" s="88">
        <v>-5109</v>
      </c>
      <c r="J60" s="88">
        <v>-4773</v>
      </c>
      <c r="K60" s="93">
        <v>-20229</v>
      </c>
      <c r="L60" s="88">
        <v>-5516</v>
      </c>
      <c r="M60" s="88">
        <v>-5066</v>
      </c>
      <c r="N60" s="88">
        <v>-3174</v>
      </c>
      <c r="O60" s="88">
        <v>-7054</v>
      </c>
      <c r="P60" s="93">
        <v>-20810</v>
      </c>
      <c r="Q60" s="88">
        <v>-4950</v>
      </c>
      <c r="R60" s="88">
        <v>-5069</v>
      </c>
      <c r="S60" s="88">
        <v>-6998</v>
      </c>
      <c r="T60" s="88">
        <v>-2560</v>
      </c>
      <c r="U60" s="93">
        <v>-19577</v>
      </c>
      <c r="V60" s="88">
        <v>-2980</v>
      </c>
      <c r="W60" s="88">
        <v>-6752</v>
      </c>
      <c r="X60" s="88">
        <v>-3522</v>
      </c>
      <c r="Y60" s="88">
        <v>-3553</v>
      </c>
      <c r="Z60" s="93">
        <v>-16807</v>
      </c>
      <c r="AA60" s="88">
        <v>-1935</v>
      </c>
      <c r="AB60" s="88">
        <v>-16191</v>
      </c>
      <c r="AC60" s="88">
        <v>375</v>
      </c>
      <c r="AD60" s="88">
        <f t="shared" si="0"/>
        <v>-9064</v>
      </c>
      <c r="AE60" s="93">
        <v>-26815</v>
      </c>
      <c r="AF60" s="88">
        <v>-1078</v>
      </c>
      <c r="AG60" s="88">
        <v>-8624</v>
      </c>
      <c r="AH60" s="88">
        <v>-1358</v>
      </c>
      <c r="AI60" s="88">
        <v>-13468</v>
      </c>
      <c r="AJ60" s="93">
        <v>-24528</v>
      </c>
      <c r="AK60" s="88">
        <v>-7795</v>
      </c>
      <c r="AL60" s="88">
        <v>-21913</v>
      </c>
      <c r="AM60" s="88">
        <v>-19305</v>
      </c>
      <c r="AN60" s="88">
        <v>1759</v>
      </c>
      <c r="AO60" s="93">
        <v>-47254</v>
      </c>
      <c r="AP60" s="88">
        <v>-7977</v>
      </c>
      <c r="AQ60" s="88">
        <v>-8175</v>
      </c>
      <c r="AR60" s="88">
        <v>-8082</v>
      </c>
      <c r="AS60" s="88">
        <v>-15362</v>
      </c>
      <c r="AT60" s="93">
        <v>-39596</v>
      </c>
      <c r="AU60" s="101">
        <v>-39697</v>
      </c>
      <c r="AV60" s="88">
        <v>-10202</v>
      </c>
      <c r="AW60" s="88">
        <v>-8525</v>
      </c>
      <c r="AX60" s="88">
        <v>-12862</v>
      </c>
      <c r="AY60" s="88">
        <v>-17284</v>
      </c>
      <c r="AZ60" s="93">
        <v>-48873</v>
      </c>
      <c r="BA60" s="372">
        <v>-10202</v>
      </c>
      <c r="BB60" s="88">
        <v>-8525</v>
      </c>
      <c r="BC60" s="88">
        <v>-12862</v>
      </c>
      <c r="BD60" s="88">
        <v>-17270</v>
      </c>
      <c r="BE60" s="88">
        <v>-17196</v>
      </c>
      <c r="BF60" s="88">
        <v>-48859</v>
      </c>
      <c r="BG60" s="88">
        <v>-48513</v>
      </c>
      <c r="BH60" s="88">
        <v>-21052</v>
      </c>
      <c r="BI60" s="88">
        <v>-17975</v>
      </c>
      <c r="BJ60" s="88">
        <v>-17782</v>
      </c>
      <c r="BK60" s="88">
        <v>-1658</v>
      </c>
      <c r="BL60" s="88">
        <v>-1526</v>
      </c>
      <c r="BM60" s="88">
        <v>-19844</v>
      </c>
      <c r="BN60" s="88">
        <v>-60204</v>
      </c>
      <c r="BO60" s="88">
        <v>-29199</v>
      </c>
      <c r="BP60" s="88">
        <v>-20853</v>
      </c>
      <c r="BQ60" s="88">
        <v>-13636</v>
      </c>
      <c r="BR60" s="542">
        <v>-9917</v>
      </c>
      <c r="BS60" s="542">
        <v>-73605</v>
      </c>
    </row>
    <row r="61" spans="1:71" ht="12.75">
      <c r="A61" s="110" t="s">
        <v>181</v>
      </c>
      <c r="B61" s="88">
        <v>-6</v>
      </c>
      <c r="C61" s="88">
        <v>-5198</v>
      </c>
      <c r="D61" s="88">
        <v>-190</v>
      </c>
      <c r="E61" s="88">
        <v>-7</v>
      </c>
      <c r="F61" s="93">
        <v>-5401</v>
      </c>
      <c r="G61" s="88"/>
      <c r="H61" s="88">
        <v>-5309</v>
      </c>
      <c r="I61" s="88"/>
      <c r="J61" s="88">
        <v>-71</v>
      </c>
      <c r="K61" s="93">
        <v>-5380</v>
      </c>
      <c r="L61" s="88"/>
      <c r="M61" s="88"/>
      <c r="N61" s="88">
        <v>-5185</v>
      </c>
      <c r="O61" s="88">
        <v>-25</v>
      </c>
      <c r="P61" s="93">
        <v>-5210</v>
      </c>
      <c r="Q61" s="88"/>
      <c r="R61" s="88">
        <v>-5870</v>
      </c>
      <c r="S61" s="88">
        <v>-68</v>
      </c>
      <c r="T61" s="88">
        <v>-16</v>
      </c>
      <c r="U61" s="93">
        <v>-5954</v>
      </c>
      <c r="V61" s="88"/>
      <c r="W61" s="88">
        <v>-15628</v>
      </c>
      <c r="X61" s="88">
        <v>-1275</v>
      </c>
      <c r="Y61" s="88">
        <v>-88</v>
      </c>
      <c r="Z61" s="93">
        <v>-16991</v>
      </c>
      <c r="AA61" s="88">
        <v>0</v>
      </c>
      <c r="AB61" s="88">
        <v>-30150</v>
      </c>
      <c r="AC61" s="88">
        <v>-19</v>
      </c>
      <c r="AD61" s="88">
        <f t="shared" si="0"/>
        <v>-5</v>
      </c>
      <c r="AE61" s="93">
        <v>-30174</v>
      </c>
      <c r="AF61" s="88" t="s">
        <v>294</v>
      </c>
      <c r="AG61" s="88">
        <v>-41946</v>
      </c>
      <c r="AH61" s="88">
        <v>-396</v>
      </c>
      <c r="AI61" s="88" t="s">
        <v>294</v>
      </c>
      <c r="AJ61" s="93">
        <v>-42342</v>
      </c>
      <c r="AK61" s="88">
        <v>-7</v>
      </c>
      <c r="AL61" s="88" t="s">
        <v>294</v>
      </c>
      <c r="AM61" s="88">
        <v>-62943</v>
      </c>
      <c r="AN61" s="88">
        <v>-787</v>
      </c>
      <c r="AO61" s="93">
        <v>-63737</v>
      </c>
      <c r="AP61" s="88">
        <v>-47</v>
      </c>
      <c r="AQ61" s="88">
        <v>-4</v>
      </c>
      <c r="AR61" s="88">
        <v>-171</v>
      </c>
      <c r="AS61" s="88">
        <v>-2</v>
      </c>
      <c r="AT61" s="93">
        <v>-224</v>
      </c>
      <c r="AU61" s="101">
        <v>-224</v>
      </c>
      <c r="AV61" s="88">
        <v>-4</v>
      </c>
      <c r="AW61" s="88">
        <v>0</v>
      </c>
      <c r="AX61" s="88">
        <v>-10</v>
      </c>
      <c r="AY61" s="88">
        <v>-1576</v>
      </c>
      <c r="AZ61" s="93">
        <v>-1590</v>
      </c>
      <c r="BA61" s="372">
        <v>-4</v>
      </c>
      <c r="BB61" s="88"/>
      <c r="BC61" s="88">
        <v>-10</v>
      </c>
      <c r="BD61" s="88">
        <v>-5</v>
      </c>
      <c r="BE61" s="88">
        <v>-5</v>
      </c>
      <c r="BF61" s="88">
        <v>-19</v>
      </c>
      <c r="BG61" s="88">
        <v>-19</v>
      </c>
      <c r="BH61" s="88">
        <v>-1</v>
      </c>
      <c r="BI61" s="88">
        <v>-3</v>
      </c>
      <c r="BJ61" s="88">
        <v>-3</v>
      </c>
      <c r="BK61" s="88">
        <v>-18</v>
      </c>
      <c r="BL61" s="88">
        <v>-18</v>
      </c>
      <c r="BM61" s="88">
        <v>-1</v>
      </c>
      <c r="BN61" s="88">
        <v>-23</v>
      </c>
      <c r="BO61" s="88">
        <v>0</v>
      </c>
      <c r="BP61" s="88">
        <v>-38257</v>
      </c>
      <c r="BQ61" s="88">
        <v>-8</v>
      </c>
      <c r="BR61" s="542">
        <v>-46</v>
      </c>
      <c r="BS61" s="542">
        <v>-38311</v>
      </c>
    </row>
    <row r="62" spans="1:71" ht="12.75">
      <c r="A62" s="110" t="s">
        <v>182</v>
      </c>
      <c r="B62" s="88"/>
      <c r="C62" s="88">
        <v>-938</v>
      </c>
      <c r="D62" s="88">
        <v>-208</v>
      </c>
      <c r="E62" s="88"/>
      <c r="F62" s="93">
        <v>-1146</v>
      </c>
      <c r="G62" s="88"/>
      <c r="H62" s="88">
        <v>-1621</v>
      </c>
      <c r="I62" s="88"/>
      <c r="J62" s="88"/>
      <c r="K62" s="93">
        <v>-1621</v>
      </c>
      <c r="L62" s="88"/>
      <c r="M62" s="88">
        <v>-401</v>
      </c>
      <c r="N62" s="88">
        <v>-185</v>
      </c>
      <c r="O62" s="88">
        <v>39</v>
      </c>
      <c r="P62" s="93">
        <v>-547</v>
      </c>
      <c r="Q62" s="88"/>
      <c r="R62" s="88">
        <v>-606</v>
      </c>
      <c r="S62" s="88"/>
      <c r="T62" s="88">
        <v>-208</v>
      </c>
      <c r="U62" s="93">
        <v>-814</v>
      </c>
      <c r="V62" s="88">
        <v>-3</v>
      </c>
      <c r="W62" s="88">
        <v>-1249</v>
      </c>
      <c r="X62" s="88">
        <v>13</v>
      </c>
      <c r="Y62" s="88">
        <v>-6</v>
      </c>
      <c r="Z62" s="93">
        <v>-1245</v>
      </c>
      <c r="AA62" s="88">
        <v>-4</v>
      </c>
      <c r="AB62" s="88">
        <v>-4847</v>
      </c>
      <c r="AC62" s="88">
        <v>-2320</v>
      </c>
      <c r="AD62" s="88">
        <f t="shared" si="0"/>
        <v>-1584</v>
      </c>
      <c r="AE62" s="93">
        <v>-8755</v>
      </c>
      <c r="AF62" s="88">
        <v>-1509</v>
      </c>
      <c r="AG62" s="88">
        <v>-5793</v>
      </c>
      <c r="AH62" s="88">
        <v>-1534</v>
      </c>
      <c r="AI62" s="88">
        <v>-1635</v>
      </c>
      <c r="AJ62" s="93">
        <v>-10471</v>
      </c>
      <c r="AK62" s="88">
        <v>-1572</v>
      </c>
      <c r="AL62" s="88">
        <v>-2980</v>
      </c>
      <c r="AM62" s="88">
        <v>-6831</v>
      </c>
      <c r="AN62" s="88">
        <v>-1733</v>
      </c>
      <c r="AO62" s="93">
        <v>-13116</v>
      </c>
      <c r="AP62" s="88">
        <v>-1823</v>
      </c>
      <c r="AQ62" s="88">
        <v>-2604</v>
      </c>
      <c r="AR62" s="88">
        <v>-2367</v>
      </c>
      <c r="AS62" s="88">
        <v>-1737</v>
      </c>
      <c r="AT62" s="93">
        <v>-8531</v>
      </c>
      <c r="AU62" s="101">
        <v>-8531</v>
      </c>
      <c r="AV62" s="88">
        <v>-1601</v>
      </c>
      <c r="AW62" s="88">
        <v>-2228</v>
      </c>
      <c r="AX62" s="88">
        <v>-3232</v>
      </c>
      <c r="AY62" s="88">
        <v>-100</v>
      </c>
      <c r="AZ62" s="93">
        <v>-7161</v>
      </c>
      <c r="BA62" s="372">
        <v>-1601</v>
      </c>
      <c r="BB62" s="88">
        <v>-2228</v>
      </c>
      <c r="BC62" s="88">
        <v>-3232</v>
      </c>
      <c r="BD62" s="88">
        <v>-1666</v>
      </c>
      <c r="BE62" s="88">
        <v>-1666</v>
      </c>
      <c r="BF62" s="88">
        <v>-8727</v>
      </c>
      <c r="BG62" s="88">
        <v>-8727</v>
      </c>
      <c r="BH62" s="88">
        <v>-1648</v>
      </c>
      <c r="BI62" s="88">
        <v>-11611</v>
      </c>
      <c r="BJ62" s="88">
        <v>-11611</v>
      </c>
      <c r="BK62" s="88">
        <v>-1770</v>
      </c>
      <c r="BL62" s="88">
        <v>-177</v>
      </c>
      <c r="BM62" s="88">
        <v>-1863</v>
      </c>
      <c r="BN62" s="88">
        <v>-16892</v>
      </c>
      <c r="BO62" s="88">
        <v>-1773</v>
      </c>
      <c r="BP62" s="88">
        <v>-2492</v>
      </c>
      <c r="BQ62" s="88">
        <v>-5637</v>
      </c>
      <c r="BR62" s="542">
        <v>-1757</v>
      </c>
      <c r="BS62" s="542">
        <v>-11659</v>
      </c>
    </row>
    <row r="63" spans="1:71" ht="16.5" customHeight="1">
      <c r="A63" s="110" t="s">
        <v>286</v>
      </c>
      <c r="B63" s="88"/>
      <c r="C63" s="88"/>
      <c r="D63" s="88"/>
      <c r="E63" s="88"/>
      <c r="F63" s="93"/>
      <c r="G63" s="88"/>
      <c r="H63" s="88"/>
      <c r="I63" s="88"/>
      <c r="J63" s="88"/>
      <c r="K63" s="93"/>
      <c r="L63" s="88"/>
      <c r="M63" s="88"/>
      <c r="N63" s="88"/>
      <c r="O63" s="88"/>
      <c r="P63" s="93"/>
      <c r="Q63" s="88"/>
      <c r="R63" s="88"/>
      <c r="S63" s="88"/>
      <c r="T63" s="88"/>
      <c r="U63" s="93"/>
      <c r="V63" s="88"/>
      <c r="W63" s="88"/>
      <c r="X63" s="88"/>
      <c r="Y63" s="88"/>
      <c r="Z63" s="93"/>
      <c r="AA63" s="88"/>
      <c r="AB63" s="88"/>
      <c r="AC63" s="88"/>
      <c r="AD63" s="88"/>
      <c r="AE63" s="93"/>
      <c r="AF63" s="88" t="s">
        <v>294</v>
      </c>
      <c r="AG63" s="88"/>
      <c r="AH63" s="88"/>
      <c r="AI63" s="88">
        <v>2748</v>
      </c>
      <c r="AJ63" s="93">
        <v>2748</v>
      </c>
      <c r="AK63" s="88" t="s">
        <v>294</v>
      </c>
      <c r="AL63" s="88">
        <v>2785</v>
      </c>
      <c r="AM63" s="88" t="s">
        <v>326</v>
      </c>
      <c r="AN63" s="88" t="s">
        <v>326</v>
      </c>
      <c r="AO63" s="93">
        <v>2785</v>
      </c>
      <c r="AP63" s="88"/>
      <c r="AQ63" s="88"/>
      <c r="AR63" s="88"/>
      <c r="AS63" s="88"/>
      <c r="AT63" s="93"/>
      <c r="AU63" s="101"/>
      <c r="AV63" s="88">
        <v>0</v>
      </c>
      <c r="AW63" s="88"/>
      <c r="AX63" s="88"/>
      <c r="AY63" s="88"/>
      <c r="AZ63" s="93">
        <v>0</v>
      </c>
      <c r="BA63" s="372"/>
      <c r="BB63" s="88"/>
      <c r="BC63" s="88"/>
      <c r="BD63" s="88"/>
      <c r="BE63" s="88"/>
      <c r="BF63" s="88"/>
      <c r="BG63" s="88"/>
      <c r="BH63" s="88"/>
      <c r="BI63" s="88"/>
      <c r="BJ63" s="88"/>
      <c r="BK63" s="88"/>
      <c r="BL63" s="88" t="s">
        <v>326</v>
      </c>
      <c r="BM63" s="88"/>
      <c r="BN63" s="88"/>
      <c r="BO63" s="88"/>
      <c r="BP63" s="88"/>
      <c r="BQ63" s="88"/>
      <c r="BR63" s="88"/>
      <c r="BS63" s="88"/>
    </row>
    <row r="64" spans="1:71" ht="16.5" customHeight="1">
      <c r="A64" s="110" t="s">
        <v>447</v>
      </c>
      <c r="B64" s="88"/>
      <c r="C64" s="88"/>
      <c r="D64" s="88"/>
      <c r="E64" s="88"/>
      <c r="F64" s="93"/>
      <c r="G64" s="88"/>
      <c r="H64" s="88"/>
      <c r="I64" s="88"/>
      <c r="J64" s="88"/>
      <c r="K64" s="93"/>
      <c r="L64" s="88"/>
      <c r="M64" s="88"/>
      <c r="N64" s="88"/>
      <c r="O64" s="88"/>
      <c r="P64" s="93"/>
      <c r="Q64" s="88"/>
      <c r="R64" s="88"/>
      <c r="S64" s="88"/>
      <c r="T64" s="88"/>
      <c r="U64" s="93"/>
      <c r="V64" s="88"/>
      <c r="W64" s="88"/>
      <c r="X64" s="88"/>
      <c r="Y64" s="88"/>
      <c r="Z64" s="93"/>
      <c r="AA64" s="88"/>
      <c r="AB64" s="88"/>
      <c r="AC64" s="88"/>
      <c r="AD64" s="88"/>
      <c r="AE64" s="93"/>
      <c r="AF64" s="88"/>
      <c r="AG64" s="88"/>
      <c r="AH64" s="88"/>
      <c r="AI64" s="88"/>
      <c r="AJ64" s="93"/>
      <c r="AK64" s="88"/>
      <c r="AL64" s="88"/>
      <c r="AM64" s="88"/>
      <c r="AN64" s="88"/>
      <c r="AO64" s="93"/>
      <c r="AP64" s="88">
        <v>1298</v>
      </c>
      <c r="AQ64" s="88">
        <v>73</v>
      </c>
      <c r="AR64" s="88">
        <v>113</v>
      </c>
      <c r="AS64" s="88">
        <v>6054</v>
      </c>
      <c r="AT64" s="93">
        <v>7538</v>
      </c>
      <c r="AU64" s="101">
        <v>7523</v>
      </c>
      <c r="AV64" s="88">
        <v>0</v>
      </c>
      <c r="AW64" s="88"/>
      <c r="AX64" s="88"/>
      <c r="AY64" s="88"/>
      <c r="AZ64" s="93">
        <v>0</v>
      </c>
      <c r="BA64" s="372"/>
      <c r="BB64" s="88"/>
      <c r="BC64" s="88"/>
      <c r="BD64" s="88"/>
      <c r="BE64" s="88"/>
      <c r="BF64" s="88"/>
      <c r="BG64" s="88"/>
      <c r="BH64" s="88"/>
      <c r="BI64" s="88"/>
      <c r="BJ64" s="88"/>
      <c r="BK64" s="88"/>
      <c r="BL64" s="88" t="s">
        <v>326</v>
      </c>
      <c r="BM64" s="88"/>
      <c r="BN64" s="88"/>
      <c r="BO64" s="88"/>
      <c r="BP64" s="88"/>
      <c r="BQ64" s="88"/>
      <c r="BR64" s="88"/>
      <c r="BS64" s="88"/>
    </row>
    <row r="65" spans="1:71" ht="12.75">
      <c r="A65" s="110" t="s">
        <v>229</v>
      </c>
      <c r="B65" s="88">
        <v>-1736</v>
      </c>
      <c r="C65" s="88">
        <v>187</v>
      </c>
      <c r="D65" s="88">
        <v>11</v>
      </c>
      <c r="E65" s="88">
        <v>119</v>
      </c>
      <c r="F65" s="93"/>
      <c r="G65" s="88">
        <v>190</v>
      </c>
      <c r="H65" s="88">
        <v>274</v>
      </c>
      <c r="I65" s="88">
        <v>-11875</v>
      </c>
      <c r="J65" s="88">
        <v>-11872</v>
      </c>
      <c r="K65" s="93"/>
      <c r="L65" s="88"/>
      <c r="M65" s="88"/>
      <c r="N65" s="88"/>
      <c r="O65" s="88"/>
      <c r="P65" s="93"/>
      <c r="Q65" s="88"/>
      <c r="R65" s="88"/>
      <c r="S65" s="88"/>
      <c r="T65" s="88"/>
      <c r="U65" s="93"/>
      <c r="V65" s="88"/>
      <c r="W65" s="88"/>
      <c r="X65" s="88"/>
      <c r="Y65" s="88"/>
      <c r="Z65" s="93"/>
      <c r="AA65" s="88"/>
      <c r="AB65" s="88"/>
      <c r="AC65" s="88"/>
      <c r="AD65" s="88"/>
      <c r="AE65" s="93"/>
      <c r="AF65" s="88"/>
      <c r="AG65" s="88"/>
      <c r="AH65" s="88"/>
      <c r="AI65" s="106"/>
      <c r="AJ65" s="106"/>
      <c r="AK65" s="106"/>
      <c r="AL65" s="88">
        <v>137860</v>
      </c>
      <c r="AM65" s="88" t="s">
        <v>326</v>
      </c>
      <c r="AN65" s="88" t="s">
        <v>326</v>
      </c>
      <c r="AO65" s="93">
        <v>137860</v>
      </c>
      <c r="AP65" s="170" t="s">
        <v>326</v>
      </c>
      <c r="AQ65" s="168" t="s">
        <v>296</v>
      </c>
      <c r="AR65" s="88"/>
      <c r="AS65" s="88"/>
      <c r="AT65" s="93"/>
      <c r="AU65" s="101"/>
      <c r="AV65" s="88">
        <v>0</v>
      </c>
      <c r="AW65" s="88"/>
      <c r="AX65" s="88"/>
      <c r="AY65" s="88"/>
      <c r="AZ65" s="93">
        <v>0</v>
      </c>
      <c r="BA65" s="372"/>
      <c r="BB65" s="88"/>
      <c r="BC65" s="88"/>
      <c r="BD65" s="88"/>
      <c r="BE65" s="88"/>
      <c r="BF65" s="88"/>
      <c r="BG65" s="88"/>
      <c r="BH65" s="88"/>
      <c r="BI65" s="88"/>
      <c r="BJ65" s="88"/>
      <c r="BK65" s="88"/>
      <c r="BL65" s="88" t="s">
        <v>326</v>
      </c>
      <c r="BM65" s="88"/>
      <c r="BN65" s="88"/>
      <c r="BO65" s="88"/>
      <c r="BP65" s="88"/>
      <c r="BQ65" s="88"/>
      <c r="BR65" s="88"/>
      <c r="BS65" s="88"/>
    </row>
    <row r="66" spans="1:52" ht="12.75">
      <c r="A66" s="110" t="s">
        <v>183</v>
      </c>
      <c r="B66" s="88"/>
      <c r="C66" s="88"/>
      <c r="D66" s="88"/>
      <c r="E66" s="88"/>
      <c r="F66" s="93">
        <v>1377</v>
      </c>
      <c r="G66" s="88"/>
      <c r="H66" s="88"/>
      <c r="I66" s="88"/>
      <c r="J66" s="88"/>
      <c r="K66" s="93">
        <v>3114</v>
      </c>
      <c r="L66" s="88">
        <v>26407</v>
      </c>
      <c r="M66" s="88">
        <v>106</v>
      </c>
      <c r="N66" s="88">
        <v>25857</v>
      </c>
      <c r="O66" s="88">
        <v>-26405</v>
      </c>
      <c r="P66" s="93">
        <v>25965</v>
      </c>
      <c r="Q66" s="88">
        <v>180</v>
      </c>
      <c r="R66" s="88">
        <v>726</v>
      </c>
      <c r="S66" s="88">
        <v>30</v>
      </c>
      <c r="T66" s="88"/>
      <c r="U66" s="93">
        <v>936</v>
      </c>
      <c r="V66" s="88">
        <v>38</v>
      </c>
      <c r="W66" s="88"/>
      <c r="X66" s="88"/>
      <c r="Y66" s="88">
        <v>-9</v>
      </c>
      <c r="Z66" s="93">
        <v>29</v>
      </c>
      <c r="AA66" s="88">
        <v>0</v>
      </c>
      <c r="AB66" s="88">
        <v>0</v>
      </c>
      <c r="AC66" s="88">
        <v>0</v>
      </c>
      <c r="AD66" s="88">
        <f t="shared" si="0"/>
        <v>0</v>
      </c>
      <c r="AE66" s="93">
        <v>0</v>
      </c>
      <c r="AF66" s="88"/>
      <c r="AG66" s="88"/>
      <c r="AH66" s="88"/>
      <c r="AI66" s="106"/>
      <c r="AJ66" s="106"/>
      <c r="AK66" s="106"/>
      <c r="AL66" s="106"/>
      <c r="AM66" s="88" t="s">
        <v>326</v>
      </c>
      <c r="AN66" s="106" t="s">
        <v>326</v>
      </c>
      <c r="AO66" s="93"/>
      <c r="AP66" s="170" t="s">
        <v>326</v>
      </c>
      <c r="AQ66" s="170"/>
      <c r="AR66" s="88">
        <v>959</v>
      </c>
      <c r="AS66" s="96" t="s">
        <v>296</v>
      </c>
      <c r="AT66" s="93">
        <v>959</v>
      </c>
      <c r="AU66" s="101">
        <v>959</v>
      </c>
      <c r="AV66" s="91">
        <v>0</v>
      </c>
      <c r="AZ66" s="93"/>
    </row>
    <row r="67" spans="1:71" ht="12.75">
      <c r="A67" s="110" t="s">
        <v>184</v>
      </c>
      <c r="B67" s="88"/>
      <c r="C67" s="88"/>
      <c r="D67" s="88"/>
      <c r="E67" s="88"/>
      <c r="F67" s="93">
        <v>-2796</v>
      </c>
      <c r="G67" s="88"/>
      <c r="H67" s="88"/>
      <c r="I67" s="88"/>
      <c r="J67" s="88"/>
      <c r="K67" s="93">
        <v>-26397</v>
      </c>
      <c r="L67" s="88">
        <v>-26405</v>
      </c>
      <c r="M67" s="88"/>
      <c r="N67" s="88">
        <v>-26733</v>
      </c>
      <c r="O67" s="88">
        <v>26555</v>
      </c>
      <c r="P67" s="93">
        <v>-26583</v>
      </c>
      <c r="Q67" s="88">
        <v>-162</v>
      </c>
      <c r="R67" s="88">
        <v>-4</v>
      </c>
      <c r="S67" s="88">
        <v>-1</v>
      </c>
      <c r="T67" s="88">
        <v>-1</v>
      </c>
      <c r="U67" s="93">
        <v>-168</v>
      </c>
      <c r="V67" s="88">
        <v>-2605</v>
      </c>
      <c r="W67" s="88">
        <v>-19261</v>
      </c>
      <c r="X67" s="88"/>
      <c r="Y67" s="88">
        <v>14</v>
      </c>
      <c r="Z67" s="93">
        <v>-21852</v>
      </c>
      <c r="AA67" s="88">
        <v>0</v>
      </c>
      <c r="AB67" s="88">
        <v>-238099</v>
      </c>
      <c r="AC67" s="88">
        <v>0</v>
      </c>
      <c r="AD67" s="88">
        <f t="shared" si="0"/>
        <v>0</v>
      </c>
      <c r="AE67" s="93">
        <v>-238099</v>
      </c>
      <c r="AF67" s="88" t="s">
        <v>294</v>
      </c>
      <c r="AG67" s="88">
        <v>-180997</v>
      </c>
      <c r="AH67" s="88">
        <v>-327382</v>
      </c>
      <c r="AI67" s="88" t="s">
        <v>294</v>
      </c>
      <c r="AJ67" s="93">
        <v>-508379</v>
      </c>
      <c r="AK67" s="88">
        <v>-25281</v>
      </c>
      <c r="AL67" s="88">
        <v>-382</v>
      </c>
      <c r="AM67" s="88" t="s">
        <v>326</v>
      </c>
      <c r="AN67" s="88"/>
      <c r="AO67" s="93">
        <v>-25663</v>
      </c>
      <c r="AP67" s="168" t="s">
        <v>296</v>
      </c>
      <c r="AQ67" s="168" t="s">
        <v>296</v>
      </c>
      <c r="AR67" s="88"/>
      <c r="AS67" s="96"/>
      <c r="AT67" s="93"/>
      <c r="AU67" s="101"/>
      <c r="AV67" s="168">
        <v>0</v>
      </c>
      <c r="AW67" s="168"/>
      <c r="AX67" s="168"/>
      <c r="AY67" s="168"/>
      <c r="AZ67" s="93"/>
      <c r="BA67" s="374"/>
      <c r="BB67" s="168"/>
      <c r="BC67" s="168"/>
      <c r="BD67" s="168"/>
      <c r="BE67" s="168"/>
      <c r="BF67" s="168"/>
      <c r="BG67" s="168"/>
      <c r="BH67" s="168"/>
      <c r="BI67" s="168"/>
      <c r="BJ67" s="168"/>
      <c r="BK67" s="168"/>
      <c r="BL67" s="168"/>
      <c r="BM67" s="168"/>
      <c r="BN67" s="168"/>
      <c r="BO67" s="168"/>
      <c r="BP67" s="168"/>
      <c r="BQ67" s="168"/>
      <c r="BR67" s="168"/>
      <c r="BS67" s="168"/>
    </row>
    <row r="68" spans="1:71" ht="12.75">
      <c r="A68" s="107" t="s">
        <v>185</v>
      </c>
      <c r="B68" s="96">
        <v>-14505</v>
      </c>
      <c r="C68" s="96">
        <v>1241</v>
      </c>
      <c r="D68" s="96">
        <v>21455</v>
      </c>
      <c r="E68" s="96">
        <v>-14483</v>
      </c>
      <c r="F68" s="97">
        <v>-6292</v>
      </c>
      <c r="G68" s="96">
        <v>-55392</v>
      </c>
      <c r="H68" s="96">
        <v>-37084</v>
      </c>
      <c r="I68" s="96">
        <v>22907</v>
      </c>
      <c r="J68" s="96">
        <v>-48723</v>
      </c>
      <c r="K68" s="97">
        <v>-118292</v>
      </c>
      <c r="L68" s="96">
        <v>-12961</v>
      </c>
      <c r="M68" s="96">
        <v>-5544</v>
      </c>
      <c r="N68" s="96">
        <v>49582</v>
      </c>
      <c r="O68" s="96">
        <v>83562</v>
      </c>
      <c r="P68" s="97">
        <v>114639</v>
      </c>
      <c r="Q68" s="96">
        <v>-20038</v>
      </c>
      <c r="R68" s="96">
        <v>-28818</v>
      </c>
      <c r="S68" s="96">
        <v>12297</v>
      </c>
      <c r="T68" s="96">
        <v>-39098</v>
      </c>
      <c r="U68" s="97">
        <v>-75657</v>
      </c>
      <c r="V68" s="96">
        <v>-81809</v>
      </c>
      <c r="W68" s="96">
        <v>-38100</v>
      </c>
      <c r="X68" s="96">
        <v>43531</v>
      </c>
      <c r="Y68" s="96">
        <v>26906</v>
      </c>
      <c r="Z68" s="97">
        <v>-49472</v>
      </c>
      <c r="AA68" s="96">
        <v>-10154</v>
      </c>
      <c r="AB68" s="96">
        <v>-254737</v>
      </c>
      <c r="AC68" s="96">
        <v>-12197</v>
      </c>
      <c r="AD68" s="96">
        <f t="shared" si="0"/>
        <v>-10393</v>
      </c>
      <c r="AE68" s="97">
        <v>-287481</v>
      </c>
      <c r="AF68" s="96">
        <v>-1128</v>
      </c>
      <c r="AG68" s="96">
        <v>-239438</v>
      </c>
      <c r="AH68" s="96">
        <v>-156628</v>
      </c>
      <c r="AI68" s="96">
        <v>151243</v>
      </c>
      <c r="AJ68" s="97">
        <v>-245951</v>
      </c>
      <c r="AK68" s="96">
        <v>268457</v>
      </c>
      <c r="AL68" s="96">
        <v>-23871</v>
      </c>
      <c r="AM68" s="96">
        <v>225161</v>
      </c>
      <c r="AN68" s="96">
        <v>-261547</v>
      </c>
      <c r="AO68" s="97">
        <v>208200</v>
      </c>
      <c r="AP68" s="96">
        <v>72422</v>
      </c>
      <c r="AQ68" s="96">
        <v>228163</v>
      </c>
      <c r="AR68" s="96">
        <v>-367422</v>
      </c>
      <c r="AS68" s="96">
        <v>-104681</v>
      </c>
      <c r="AT68" s="97">
        <v>-171518</v>
      </c>
      <c r="AU68" s="291">
        <v>-169713</v>
      </c>
      <c r="AV68" s="96">
        <v>138851</v>
      </c>
      <c r="AW68" s="96">
        <v>-71402</v>
      </c>
      <c r="AX68" s="96">
        <v>116883</v>
      </c>
      <c r="AY68" s="96">
        <v>-156212</v>
      </c>
      <c r="AZ68" s="97">
        <v>28120</v>
      </c>
      <c r="BA68" s="373">
        <v>138851</v>
      </c>
      <c r="BB68" s="96">
        <v>-71402</v>
      </c>
      <c r="BC68" s="96">
        <v>116883</v>
      </c>
      <c r="BD68" s="96">
        <v>-157538</v>
      </c>
      <c r="BE68" s="96">
        <v>-158323</v>
      </c>
      <c r="BF68" s="96">
        <v>26794</v>
      </c>
      <c r="BG68" s="96">
        <v>24764</v>
      </c>
      <c r="BH68" s="96">
        <v>78277</v>
      </c>
      <c r="BI68" s="96">
        <v>-37843</v>
      </c>
      <c r="BJ68" s="96">
        <v>-38719</v>
      </c>
      <c r="BK68" s="96">
        <v>-179858</v>
      </c>
      <c r="BL68" s="96">
        <v>-180810</v>
      </c>
      <c r="BM68" s="96">
        <v>-47651.13402307464</v>
      </c>
      <c r="BN68" s="96">
        <v>-188903</v>
      </c>
      <c r="BO68" s="96">
        <v>-33763</v>
      </c>
      <c r="BP68" s="96">
        <v>-103323</v>
      </c>
      <c r="BQ68" s="96">
        <v>-34692</v>
      </c>
      <c r="BR68" s="96">
        <f>SUM(BR56:BR67)</f>
        <v>22089</v>
      </c>
      <c r="BS68" s="96">
        <f>SUM(BS51:BS67)</f>
        <v>-149689</v>
      </c>
    </row>
    <row r="69" spans="1:30" ht="12.75">
      <c r="A69" s="115"/>
      <c r="AD69" s="116"/>
    </row>
    <row r="70" spans="1:71" ht="12.75">
      <c r="A70" s="107" t="s">
        <v>186</v>
      </c>
      <c r="B70" s="96">
        <v>18119</v>
      </c>
      <c r="C70" s="96">
        <v>-1749</v>
      </c>
      <c r="D70" s="96">
        <v>-9518</v>
      </c>
      <c r="E70" s="96">
        <v>12925</v>
      </c>
      <c r="F70" s="93">
        <v>19777</v>
      </c>
      <c r="G70" s="96">
        <v>-18336</v>
      </c>
      <c r="H70" s="96">
        <v>1802</v>
      </c>
      <c r="I70" s="96">
        <v>-13878</v>
      </c>
      <c r="J70" s="96">
        <v>14752</v>
      </c>
      <c r="K70" s="93">
        <v>-15660</v>
      </c>
      <c r="L70" s="96">
        <v>-19630</v>
      </c>
      <c r="M70" s="96">
        <v>5355</v>
      </c>
      <c r="N70" s="96">
        <v>3904</v>
      </c>
      <c r="O70" s="96">
        <v>29639</v>
      </c>
      <c r="P70" s="93">
        <v>19268</v>
      </c>
      <c r="Q70" s="96">
        <v>-11113</v>
      </c>
      <c r="R70" s="96">
        <v>19352</v>
      </c>
      <c r="S70" s="96">
        <v>-13445</v>
      </c>
      <c r="T70" s="96">
        <v>29119</v>
      </c>
      <c r="U70" s="93">
        <v>23913</v>
      </c>
      <c r="V70" s="96">
        <v>-32456</v>
      </c>
      <c r="W70" s="96">
        <v>-1202</v>
      </c>
      <c r="X70" s="96">
        <v>24308</v>
      </c>
      <c r="Y70" s="96">
        <v>-17424</v>
      </c>
      <c r="Z70" s="93">
        <v>-26774</v>
      </c>
      <c r="AA70" s="96">
        <v>331031</v>
      </c>
      <c r="AB70" s="96">
        <v>-113193</v>
      </c>
      <c r="AC70" s="96">
        <v>110189</v>
      </c>
      <c r="AD70" s="96">
        <f t="shared" si="0"/>
        <v>25669</v>
      </c>
      <c r="AE70" s="93">
        <v>353696</v>
      </c>
      <c r="AF70" s="96">
        <v>-18471</v>
      </c>
      <c r="AG70" s="96">
        <v>-199588</v>
      </c>
      <c r="AH70" s="96">
        <v>-64773</v>
      </c>
      <c r="AI70" s="96">
        <v>15409</v>
      </c>
      <c r="AJ70" s="93">
        <v>-267423</v>
      </c>
      <c r="AK70" s="96">
        <v>187450</v>
      </c>
      <c r="AL70" s="96">
        <v>-13067</v>
      </c>
      <c r="AM70" s="96">
        <v>9714</v>
      </c>
      <c r="AN70" s="96">
        <v>-102340</v>
      </c>
      <c r="AO70" s="97">
        <v>81758</v>
      </c>
      <c r="AP70" s="96">
        <v>6210</v>
      </c>
      <c r="AQ70" s="96">
        <v>308872</v>
      </c>
      <c r="AR70" s="96">
        <v>-325613</v>
      </c>
      <c r="AS70" s="96">
        <v>-40473</v>
      </c>
      <c r="AT70" s="97">
        <v>-51004</v>
      </c>
      <c r="AU70" s="291">
        <v>-38480</v>
      </c>
      <c r="AV70" s="96">
        <v>-44403</v>
      </c>
      <c r="AW70" s="96">
        <v>152408</v>
      </c>
      <c r="AX70" s="96">
        <v>67050</v>
      </c>
      <c r="AY70" s="96">
        <v>-58198</v>
      </c>
      <c r="AZ70" s="97">
        <v>124346</v>
      </c>
      <c r="BA70" s="373">
        <v>-44403</v>
      </c>
      <c r="BB70" s="96">
        <v>152408</v>
      </c>
      <c r="BC70" s="96">
        <v>67050</v>
      </c>
      <c r="BD70" s="96">
        <v>-58369</v>
      </c>
      <c r="BE70" s="96">
        <v>-50880</v>
      </c>
      <c r="BF70" s="96">
        <v>124175</v>
      </c>
      <c r="BG70" s="96">
        <v>124175</v>
      </c>
      <c r="BH70" s="96">
        <v>12675</v>
      </c>
      <c r="BI70" s="96">
        <v>48350</v>
      </c>
      <c r="BJ70" s="96">
        <v>48350</v>
      </c>
      <c r="BK70" s="96">
        <v>-69015</v>
      </c>
      <c r="BL70" s="96">
        <v>-69015</v>
      </c>
      <c r="BM70" s="96">
        <v>-6672.134023074643</v>
      </c>
      <c r="BN70" s="96">
        <v>-14662</v>
      </c>
      <c r="BO70" s="96">
        <v>-105561</v>
      </c>
      <c r="BP70" s="96">
        <v>23454</v>
      </c>
      <c r="BQ70" s="96">
        <v>93312</v>
      </c>
      <c r="BR70" s="96">
        <f>BR68+BR49+BR35</f>
        <v>-4061</v>
      </c>
      <c r="BS70" s="96">
        <f>BS68+BS49+BS35</f>
        <v>7144</v>
      </c>
    </row>
    <row r="71" spans="1:71" ht="12.75">
      <c r="A71" s="110" t="s">
        <v>187</v>
      </c>
      <c r="B71" s="88">
        <v>38134</v>
      </c>
      <c r="C71" s="88">
        <v>56219</v>
      </c>
      <c r="D71" s="88">
        <v>54470</v>
      </c>
      <c r="E71" s="88">
        <v>44952</v>
      </c>
      <c r="F71" s="93">
        <v>38134</v>
      </c>
      <c r="G71" s="88">
        <v>57911</v>
      </c>
      <c r="H71" s="88">
        <v>39575</v>
      </c>
      <c r="I71" s="88">
        <v>41377</v>
      </c>
      <c r="J71" s="88">
        <v>27499</v>
      </c>
      <c r="K71" s="93">
        <v>57911</v>
      </c>
      <c r="L71" s="88">
        <v>42251</v>
      </c>
      <c r="M71" s="88">
        <v>22621</v>
      </c>
      <c r="N71" s="88">
        <v>41421</v>
      </c>
      <c r="O71" s="88">
        <v>44218</v>
      </c>
      <c r="P71" s="93">
        <v>42251</v>
      </c>
      <c r="Q71" s="88">
        <v>62841</v>
      </c>
      <c r="R71" s="88">
        <v>52757</v>
      </c>
      <c r="S71" s="88">
        <v>72369</v>
      </c>
      <c r="T71" s="88">
        <v>58544</v>
      </c>
      <c r="U71" s="93">
        <v>62841</v>
      </c>
      <c r="V71" s="88">
        <v>88126</v>
      </c>
      <c r="W71" s="88">
        <v>56419</v>
      </c>
      <c r="X71" s="88">
        <v>56780</v>
      </c>
      <c r="Y71" s="88">
        <v>81251</v>
      </c>
      <c r="Z71" s="93">
        <v>88126</v>
      </c>
      <c r="AA71" s="88">
        <v>64170</v>
      </c>
      <c r="AB71" s="88">
        <v>396934</v>
      </c>
      <c r="AC71" s="88">
        <v>295700</v>
      </c>
      <c r="AD71" s="88">
        <f t="shared" si="0"/>
        <v>-692634</v>
      </c>
      <c r="AE71" s="93">
        <v>64170</v>
      </c>
      <c r="AF71" s="88">
        <v>399104</v>
      </c>
      <c r="AG71" s="88">
        <v>373096</v>
      </c>
      <c r="AH71" s="88">
        <v>175970</v>
      </c>
      <c r="AI71" s="88">
        <v>112416</v>
      </c>
      <c r="AJ71" s="93">
        <v>399104</v>
      </c>
      <c r="AK71" s="88">
        <v>129721</v>
      </c>
      <c r="AL71" s="88">
        <v>316210</v>
      </c>
      <c r="AM71" s="88">
        <v>282519</v>
      </c>
      <c r="AN71" s="88">
        <v>304813</v>
      </c>
      <c r="AO71" s="93">
        <v>129721</v>
      </c>
      <c r="AP71" s="88">
        <v>222074</v>
      </c>
      <c r="AQ71" s="88">
        <v>242537</v>
      </c>
      <c r="AR71" s="88">
        <v>532136</v>
      </c>
      <c r="AS71" s="88">
        <v>224564</v>
      </c>
      <c r="AT71" s="93">
        <v>222074</v>
      </c>
      <c r="AU71" s="101">
        <v>222074</v>
      </c>
      <c r="AV71" s="88">
        <v>186192</v>
      </c>
      <c r="AW71" s="88">
        <v>144088</v>
      </c>
      <c r="AX71" s="88">
        <v>309939</v>
      </c>
      <c r="AY71" s="88">
        <v>362802</v>
      </c>
      <c r="AZ71" s="93">
        <v>178703</v>
      </c>
      <c r="BA71" s="372">
        <v>186192</v>
      </c>
      <c r="BB71" s="88">
        <v>144088</v>
      </c>
      <c r="BC71" s="88">
        <v>309939</v>
      </c>
      <c r="BD71" s="88">
        <v>362802</v>
      </c>
      <c r="BE71" s="88">
        <v>355313</v>
      </c>
      <c r="BF71" s="88">
        <v>178703</v>
      </c>
      <c r="BG71" s="88">
        <v>178703</v>
      </c>
      <c r="BH71" s="88">
        <v>313166</v>
      </c>
      <c r="BI71" s="88">
        <v>319345</v>
      </c>
      <c r="BJ71" s="88">
        <v>319345</v>
      </c>
      <c r="BK71" s="88">
        <v>365257</v>
      </c>
      <c r="BL71" s="88">
        <v>365257</v>
      </c>
      <c r="BM71" s="88">
        <v>317543.13402307464</v>
      </c>
      <c r="BN71" s="88">
        <v>313166</v>
      </c>
      <c r="BO71" s="88">
        <v>311133</v>
      </c>
      <c r="BP71" s="88">
        <v>208661</v>
      </c>
      <c r="BQ71" s="88">
        <v>233682</v>
      </c>
      <c r="BR71" s="88">
        <v>325258</v>
      </c>
      <c r="BS71" s="88">
        <v>311133</v>
      </c>
    </row>
    <row r="72" spans="1:71" ht="12.75">
      <c r="A72" s="509" t="s">
        <v>608</v>
      </c>
      <c r="B72" s="88"/>
      <c r="C72" s="88"/>
      <c r="D72" s="88"/>
      <c r="E72" s="88"/>
      <c r="F72" s="93"/>
      <c r="G72" s="88"/>
      <c r="H72" s="88"/>
      <c r="I72" s="88"/>
      <c r="J72" s="88"/>
      <c r="K72" s="93"/>
      <c r="L72" s="88"/>
      <c r="M72" s="88"/>
      <c r="N72" s="88"/>
      <c r="O72" s="88"/>
      <c r="P72" s="93"/>
      <c r="Q72" s="88"/>
      <c r="R72" s="88"/>
      <c r="S72" s="88"/>
      <c r="T72" s="88"/>
      <c r="U72" s="93"/>
      <c r="V72" s="88"/>
      <c r="W72" s="88"/>
      <c r="X72" s="88"/>
      <c r="Y72" s="88"/>
      <c r="Z72" s="93"/>
      <c r="AA72" s="88"/>
      <c r="AB72" s="88"/>
      <c r="AC72" s="88"/>
      <c r="AD72" s="88"/>
      <c r="AE72" s="93"/>
      <c r="AF72" s="88"/>
      <c r="AG72" s="88"/>
      <c r="AH72" s="88"/>
      <c r="AI72" s="88"/>
      <c r="AJ72" s="93"/>
      <c r="AK72" s="88"/>
      <c r="AL72" s="88"/>
      <c r="AM72" s="88"/>
      <c r="AN72" s="88"/>
      <c r="AO72" s="93"/>
      <c r="AP72" s="88"/>
      <c r="AQ72" s="88"/>
      <c r="AR72" s="88"/>
      <c r="AS72" s="88"/>
      <c r="AT72" s="93"/>
      <c r="AU72" s="101"/>
      <c r="AV72" s="88"/>
      <c r="AW72" s="88"/>
      <c r="AX72" s="88"/>
      <c r="AY72" s="88"/>
      <c r="AZ72" s="93"/>
      <c r="BA72" s="372"/>
      <c r="BB72" s="88"/>
      <c r="BC72" s="88"/>
      <c r="BD72" s="88"/>
      <c r="BE72" s="88"/>
      <c r="BF72" s="88"/>
      <c r="BG72" s="88"/>
      <c r="BH72" s="88"/>
      <c r="BI72" s="88"/>
      <c r="BJ72" s="88"/>
      <c r="BK72" s="88"/>
      <c r="BL72" s="88"/>
      <c r="BM72" s="88"/>
      <c r="BN72" s="88"/>
      <c r="BO72" s="88"/>
      <c r="BP72" s="88"/>
      <c r="BQ72" s="88"/>
      <c r="BR72" s="88"/>
      <c r="BS72" s="88"/>
    </row>
    <row r="73" spans="1:71" ht="12.75">
      <c r="A73" s="508" t="s">
        <v>609</v>
      </c>
      <c r="B73" s="88"/>
      <c r="C73" s="88"/>
      <c r="D73" s="88"/>
      <c r="E73" s="88"/>
      <c r="F73" s="93"/>
      <c r="G73" s="88"/>
      <c r="H73" s="88"/>
      <c r="I73" s="88"/>
      <c r="J73" s="88"/>
      <c r="K73" s="93"/>
      <c r="L73" s="88"/>
      <c r="M73" s="88"/>
      <c r="N73" s="88"/>
      <c r="O73" s="88"/>
      <c r="P73" s="93"/>
      <c r="Q73" s="88"/>
      <c r="R73" s="88"/>
      <c r="S73" s="88"/>
      <c r="T73" s="88"/>
      <c r="U73" s="93"/>
      <c r="V73" s="88"/>
      <c r="W73" s="88"/>
      <c r="X73" s="88"/>
      <c r="Y73" s="88"/>
      <c r="Z73" s="93"/>
      <c r="AA73" s="88"/>
      <c r="AB73" s="88"/>
      <c r="AC73" s="88"/>
      <c r="AD73" s="88"/>
      <c r="AE73" s="93"/>
      <c r="AF73" s="88"/>
      <c r="AG73" s="88"/>
      <c r="AH73" s="88"/>
      <c r="AI73" s="88"/>
      <c r="AJ73" s="93"/>
      <c r="AK73" s="88"/>
      <c r="AL73" s="88"/>
      <c r="AM73" s="88"/>
      <c r="AN73" s="88"/>
      <c r="AO73" s="93"/>
      <c r="AP73" s="88"/>
      <c r="AQ73" s="88"/>
      <c r="AR73" s="88"/>
      <c r="AS73" s="88"/>
      <c r="AT73" s="93"/>
      <c r="AU73" s="101"/>
      <c r="AV73" s="88"/>
      <c r="AW73" s="88"/>
      <c r="AX73" s="88"/>
      <c r="AY73" s="88"/>
      <c r="AZ73" s="93"/>
      <c r="BA73" s="372"/>
      <c r="BB73" s="88"/>
      <c r="BC73" s="88"/>
      <c r="BD73" s="88"/>
      <c r="BE73" s="88"/>
      <c r="BF73" s="88"/>
      <c r="BG73" s="88"/>
      <c r="BH73" s="88"/>
      <c r="BI73" s="88"/>
      <c r="BJ73" s="88"/>
      <c r="BK73" s="88"/>
      <c r="BL73" s="88"/>
      <c r="BM73" s="88"/>
      <c r="BN73" s="88"/>
      <c r="BO73" s="88">
        <v>311133</v>
      </c>
      <c r="BP73" s="88">
        <v>208661</v>
      </c>
      <c r="BQ73" s="88">
        <v>233682</v>
      </c>
      <c r="BR73" s="542">
        <v>324473</v>
      </c>
      <c r="BS73" s="88">
        <v>311133</v>
      </c>
    </row>
    <row r="74" spans="1:71" ht="12.75">
      <c r="A74" s="508" t="s">
        <v>610</v>
      </c>
      <c r="B74" s="88"/>
      <c r="C74" s="88"/>
      <c r="D74" s="88"/>
      <c r="E74" s="88"/>
      <c r="F74" s="93"/>
      <c r="G74" s="88"/>
      <c r="H74" s="88"/>
      <c r="I74" s="88"/>
      <c r="J74" s="88"/>
      <c r="K74" s="93"/>
      <c r="L74" s="88"/>
      <c r="M74" s="88"/>
      <c r="N74" s="88"/>
      <c r="O74" s="88"/>
      <c r="P74" s="93"/>
      <c r="Q74" s="88"/>
      <c r="R74" s="88"/>
      <c r="S74" s="88"/>
      <c r="T74" s="88"/>
      <c r="U74" s="93"/>
      <c r="V74" s="88"/>
      <c r="W74" s="88"/>
      <c r="X74" s="88"/>
      <c r="Y74" s="88"/>
      <c r="Z74" s="93"/>
      <c r="AA74" s="88"/>
      <c r="AB74" s="88"/>
      <c r="AC74" s="88"/>
      <c r="AD74" s="88"/>
      <c r="AE74" s="93"/>
      <c r="AF74" s="88"/>
      <c r="AG74" s="88"/>
      <c r="AH74" s="88"/>
      <c r="AI74" s="88"/>
      <c r="AJ74" s="93"/>
      <c r="AK74" s="88"/>
      <c r="AL74" s="88"/>
      <c r="AM74" s="88"/>
      <c r="AN74" s="88"/>
      <c r="AO74" s="93"/>
      <c r="AP74" s="88"/>
      <c r="AQ74" s="88"/>
      <c r="AR74" s="88"/>
      <c r="AS74" s="88"/>
      <c r="AT74" s="93"/>
      <c r="AU74" s="101"/>
      <c r="AV74" s="88"/>
      <c r="AW74" s="88"/>
      <c r="AX74" s="88"/>
      <c r="AY74" s="88"/>
      <c r="AZ74" s="93"/>
      <c r="BA74" s="372"/>
      <c r="BB74" s="88"/>
      <c r="BC74" s="88"/>
      <c r="BD74" s="88"/>
      <c r="BE74" s="88"/>
      <c r="BF74" s="88"/>
      <c r="BG74" s="88"/>
      <c r="BH74" s="88"/>
      <c r="BI74" s="88"/>
      <c r="BJ74" s="88"/>
      <c r="BK74" s="88"/>
      <c r="BL74" s="88"/>
      <c r="BM74" s="88"/>
      <c r="BN74" s="88"/>
      <c r="BO74" s="88">
        <v>0</v>
      </c>
      <c r="BP74" s="88">
        <v>0</v>
      </c>
      <c r="BQ74" s="88">
        <v>0</v>
      </c>
      <c r="BR74" s="542">
        <v>785</v>
      </c>
      <c r="BS74" s="88"/>
    </row>
    <row r="75" spans="1:71" ht="25.5">
      <c r="A75" s="92" t="s">
        <v>188</v>
      </c>
      <c r="B75" s="88">
        <v>0</v>
      </c>
      <c r="C75" s="88">
        <v>0</v>
      </c>
      <c r="D75" s="88">
        <v>0</v>
      </c>
      <c r="E75" s="88">
        <v>0</v>
      </c>
      <c r="F75" s="93">
        <v>0</v>
      </c>
      <c r="G75" s="88">
        <v>0</v>
      </c>
      <c r="H75" s="88">
        <v>0</v>
      </c>
      <c r="I75" s="88">
        <v>0</v>
      </c>
      <c r="J75" s="88">
        <v>0</v>
      </c>
      <c r="K75" s="93">
        <v>0</v>
      </c>
      <c r="L75" s="88">
        <v>0</v>
      </c>
      <c r="M75" s="88">
        <v>12147</v>
      </c>
      <c r="N75" s="88">
        <v>0</v>
      </c>
      <c r="O75" s="88">
        <v>-11926</v>
      </c>
      <c r="P75" s="93">
        <v>221</v>
      </c>
      <c r="Q75" s="88">
        <v>1185</v>
      </c>
      <c r="R75" s="88">
        <v>0</v>
      </c>
      <c r="S75" s="88">
        <v>0</v>
      </c>
      <c r="T75" s="88">
        <v>0</v>
      </c>
      <c r="U75" s="93">
        <v>1185</v>
      </c>
      <c r="V75" s="88">
        <v>0</v>
      </c>
      <c r="W75" s="88">
        <v>1131</v>
      </c>
      <c r="X75" s="88">
        <v>0</v>
      </c>
      <c r="Y75" s="88">
        <v>0</v>
      </c>
      <c r="Z75" s="93">
        <v>1131</v>
      </c>
      <c r="AA75" s="88">
        <v>214</v>
      </c>
      <c r="AB75" s="88">
        <v>0</v>
      </c>
      <c r="AC75" s="88">
        <v>0</v>
      </c>
      <c r="AD75" s="88">
        <f t="shared" si="0"/>
        <v>0</v>
      </c>
      <c r="AE75" s="93">
        <v>214</v>
      </c>
      <c r="AF75" s="88">
        <v>0</v>
      </c>
      <c r="AG75" s="88">
        <v>0</v>
      </c>
      <c r="AH75" s="88">
        <v>0</v>
      </c>
      <c r="AI75" s="88">
        <v>0</v>
      </c>
      <c r="AJ75" s="93">
        <v>0</v>
      </c>
      <c r="AK75" s="88">
        <v>0</v>
      </c>
      <c r="AL75" s="88">
        <v>0</v>
      </c>
      <c r="AM75" s="88"/>
      <c r="AN75" s="88">
        <v>418</v>
      </c>
      <c r="AO75" s="93">
        <v>418</v>
      </c>
      <c r="AP75" s="88"/>
      <c r="AQ75" s="88">
        <v>19166</v>
      </c>
      <c r="AR75" s="168" t="s">
        <v>326</v>
      </c>
      <c r="AS75" s="96" t="s">
        <v>326</v>
      </c>
      <c r="AT75" s="93">
        <v>19166</v>
      </c>
      <c r="AU75" s="101"/>
      <c r="AV75" s="88"/>
      <c r="AW75" s="88"/>
      <c r="AX75" s="88"/>
      <c r="AY75" s="88">
        <v>0</v>
      </c>
      <c r="AZ75" s="93"/>
      <c r="BA75" s="372"/>
      <c r="BB75" s="88"/>
      <c r="BC75" s="88"/>
      <c r="BD75" s="88"/>
      <c r="BE75" s="88"/>
      <c r="BF75" s="88"/>
      <c r="BG75" s="88"/>
      <c r="BH75" s="88"/>
      <c r="BI75" s="88"/>
      <c r="BJ75" s="88"/>
      <c r="BK75" s="88"/>
      <c r="BL75" s="88"/>
      <c r="BM75" s="88"/>
      <c r="BN75" s="88"/>
      <c r="BO75" s="88"/>
      <c r="BP75" s="88"/>
      <c r="BQ75" s="88"/>
      <c r="BR75" s="88"/>
      <c r="BS75" s="88"/>
    </row>
    <row r="76" spans="1:71" ht="12.75">
      <c r="A76" s="92" t="s">
        <v>189</v>
      </c>
      <c r="B76" s="88">
        <v>0</v>
      </c>
      <c r="C76" s="88">
        <v>0</v>
      </c>
      <c r="D76" s="88">
        <v>0</v>
      </c>
      <c r="E76" s="88">
        <v>0</v>
      </c>
      <c r="F76" s="93">
        <v>0</v>
      </c>
      <c r="G76" s="88">
        <v>0</v>
      </c>
      <c r="H76" s="88">
        <v>0</v>
      </c>
      <c r="I76" s="88">
        <v>0</v>
      </c>
      <c r="J76" s="88">
        <v>0</v>
      </c>
      <c r="K76" s="93">
        <v>0</v>
      </c>
      <c r="L76" s="88">
        <v>0</v>
      </c>
      <c r="M76" s="88">
        <v>1298</v>
      </c>
      <c r="N76" s="88">
        <v>-1107</v>
      </c>
      <c r="O76" s="88">
        <v>910</v>
      </c>
      <c r="P76" s="93">
        <v>1101</v>
      </c>
      <c r="Q76" s="88">
        <v>-156</v>
      </c>
      <c r="R76" s="88">
        <v>260</v>
      </c>
      <c r="S76" s="88">
        <v>-380</v>
      </c>
      <c r="T76" s="88">
        <v>463</v>
      </c>
      <c r="U76" s="93">
        <v>187</v>
      </c>
      <c r="V76" s="88">
        <v>749</v>
      </c>
      <c r="W76" s="88">
        <v>432</v>
      </c>
      <c r="X76" s="88">
        <v>163</v>
      </c>
      <c r="Y76" s="88">
        <v>343</v>
      </c>
      <c r="Z76" s="93">
        <v>1687</v>
      </c>
      <c r="AA76" s="88">
        <v>569</v>
      </c>
      <c r="AB76" s="88">
        <v>-611</v>
      </c>
      <c r="AC76" s="88">
        <v>1114</v>
      </c>
      <c r="AD76" s="88">
        <f t="shared" si="0"/>
        <v>26</v>
      </c>
      <c r="AE76" s="93">
        <v>1098</v>
      </c>
      <c r="AF76" s="88">
        <v>-2178</v>
      </c>
      <c r="AG76" s="88">
        <v>-476</v>
      </c>
      <c r="AH76" s="88">
        <v>1810</v>
      </c>
      <c r="AI76" s="88">
        <v>-1141</v>
      </c>
      <c r="AJ76" s="93">
        <v>-1985</v>
      </c>
      <c r="AK76" s="88">
        <v>680</v>
      </c>
      <c r="AL76" s="88">
        <v>978</v>
      </c>
      <c r="AM76" s="88">
        <v>100</v>
      </c>
      <c r="AN76" s="88">
        <v>3712</v>
      </c>
      <c r="AO76" s="93">
        <v>5470</v>
      </c>
      <c r="AP76" s="88">
        <v>3283</v>
      </c>
      <c r="AQ76" s="88">
        <v>-8003</v>
      </c>
      <c r="AR76" s="88">
        <v>-1705</v>
      </c>
      <c r="AS76" s="88">
        <v>2440</v>
      </c>
      <c r="AT76" s="93">
        <v>-3985</v>
      </c>
      <c r="AU76" s="101">
        <v>-5567</v>
      </c>
      <c r="AV76" s="88">
        <v>1939</v>
      </c>
      <c r="AW76" s="88">
        <v>9769</v>
      </c>
      <c r="AX76" s="88">
        <v>-3444</v>
      </c>
      <c r="AY76" s="88">
        <v>-7636</v>
      </c>
      <c r="AZ76" s="93">
        <v>628</v>
      </c>
      <c r="BA76" s="372">
        <v>1939</v>
      </c>
      <c r="BB76" s="88">
        <v>9769</v>
      </c>
      <c r="BC76" s="88">
        <v>-3444</v>
      </c>
      <c r="BD76" s="88">
        <v>-7626</v>
      </c>
      <c r="BE76" s="88">
        <v>1386</v>
      </c>
      <c r="BF76" s="88">
        <v>638</v>
      </c>
      <c r="BG76" s="88">
        <v>9650</v>
      </c>
      <c r="BH76" s="88">
        <v>-1556</v>
      </c>
      <c r="BI76" s="88">
        <v>-5072</v>
      </c>
      <c r="BJ76" s="88">
        <v>-5072</v>
      </c>
      <c r="BK76" s="88">
        <v>18347</v>
      </c>
      <c r="BL76" s="88">
        <v>18347</v>
      </c>
      <c r="BM76" s="88">
        <v>471</v>
      </c>
      <c r="BN76" s="88">
        <v>12190</v>
      </c>
      <c r="BO76" s="88">
        <v>229</v>
      </c>
      <c r="BP76" s="88">
        <v>5635</v>
      </c>
      <c r="BQ76" s="88">
        <v>1725</v>
      </c>
      <c r="BR76" s="542">
        <v>-4549</v>
      </c>
      <c r="BS76" s="88">
        <v>3040</v>
      </c>
    </row>
    <row r="77" spans="1:71" ht="12.75">
      <c r="A77" s="92" t="s">
        <v>273</v>
      </c>
      <c r="B77" s="88"/>
      <c r="C77" s="88"/>
      <c r="D77" s="88"/>
      <c r="E77" s="88"/>
      <c r="F77" s="93"/>
      <c r="G77" s="88"/>
      <c r="H77" s="88"/>
      <c r="I77" s="88"/>
      <c r="J77" s="88"/>
      <c r="K77" s="93"/>
      <c r="L77" s="88"/>
      <c r="M77" s="88"/>
      <c r="N77" s="88"/>
      <c r="O77" s="88"/>
      <c r="P77" s="93"/>
      <c r="Q77" s="88"/>
      <c r="R77" s="88"/>
      <c r="S77" s="88"/>
      <c r="T77" s="88"/>
      <c r="U77" s="93"/>
      <c r="V77" s="88"/>
      <c r="W77" s="88"/>
      <c r="X77" s="88"/>
      <c r="Y77" s="88">
        <v>3</v>
      </c>
      <c r="Z77" s="93">
        <v>19</v>
      </c>
      <c r="AA77" s="88">
        <v>950</v>
      </c>
      <c r="AB77" s="88">
        <v>12570</v>
      </c>
      <c r="AC77" s="88">
        <v>-9542</v>
      </c>
      <c r="AD77" s="88">
        <f t="shared" si="0"/>
        <v>-24052</v>
      </c>
      <c r="AE77" s="93">
        <v>-20074</v>
      </c>
      <c r="AF77" s="88">
        <v>-5359</v>
      </c>
      <c r="AG77" s="88">
        <v>2938</v>
      </c>
      <c r="AH77" s="88">
        <v>-591</v>
      </c>
      <c r="AI77" s="88">
        <v>3037</v>
      </c>
      <c r="AJ77" s="93">
        <v>25</v>
      </c>
      <c r="AK77" s="88">
        <v>-1641</v>
      </c>
      <c r="AL77" s="88">
        <v>-21602</v>
      </c>
      <c r="AM77" s="88">
        <v>12480</v>
      </c>
      <c r="AN77" s="88">
        <v>15024</v>
      </c>
      <c r="AO77" s="93">
        <v>4261</v>
      </c>
      <c r="AP77" s="88">
        <v>10970</v>
      </c>
      <c r="AQ77" s="88">
        <v>-30436</v>
      </c>
      <c r="AR77" s="88">
        <v>19746</v>
      </c>
      <c r="AS77" s="88">
        <v>395</v>
      </c>
      <c r="AT77" s="93">
        <v>675</v>
      </c>
      <c r="AU77" s="101">
        <v>676</v>
      </c>
      <c r="AV77" s="88">
        <v>360</v>
      </c>
      <c r="AW77" s="88">
        <v>3674</v>
      </c>
      <c r="AX77" s="88">
        <v>-10743</v>
      </c>
      <c r="AY77" s="88">
        <v>16156</v>
      </c>
      <c r="AZ77" s="93">
        <v>9447</v>
      </c>
      <c r="BA77" s="372">
        <v>360</v>
      </c>
      <c r="BB77" s="88">
        <v>3674</v>
      </c>
      <c r="BC77" s="88">
        <v>-10743</v>
      </c>
      <c r="BD77" s="88">
        <v>16359</v>
      </c>
      <c r="BE77" s="88">
        <v>7347</v>
      </c>
      <c r="BF77" s="88">
        <v>9650</v>
      </c>
      <c r="BG77" s="88">
        <v>638</v>
      </c>
      <c r="BH77" s="88">
        <v>-4940</v>
      </c>
      <c r="BI77" s="88">
        <v>2634</v>
      </c>
      <c r="BJ77" s="88">
        <v>2634</v>
      </c>
      <c r="BK77" s="88">
        <v>2954</v>
      </c>
      <c r="BL77" s="88">
        <v>2954</v>
      </c>
      <c r="BM77" s="88">
        <v>-209</v>
      </c>
      <c r="BN77" s="88">
        <v>439</v>
      </c>
      <c r="BO77" s="88">
        <v>2860</v>
      </c>
      <c r="BP77" s="88">
        <v>-4068</v>
      </c>
      <c r="BQ77" s="88">
        <v>-3461</v>
      </c>
      <c r="BR77" s="542">
        <v>1659</v>
      </c>
      <c r="BS77" s="88">
        <v>-3010</v>
      </c>
    </row>
    <row r="78" spans="1:71" ht="12.75">
      <c r="A78" s="117" t="s">
        <v>190</v>
      </c>
      <c r="B78" s="96">
        <v>56219</v>
      </c>
      <c r="C78" s="96">
        <v>54470</v>
      </c>
      <c r="D78" s="96">
        <v>44952</v>
      </c>
      <c r="E78" s="96">
        <v>57911</v>
      </c>
      <c r="F78" s="93">
        <v>57911</v>
      </c>
      <c r="G78" s="96">
        <v>39575</v>
      </c>
      <c r="H78" s="96">
        <v>41377</v>
      </c>
      <c r="I78" s="96">
        <v>27499</v>
      </c>
      <c r="J78" s="96">
        <v>42251</v>
      </c>
      <c r="K78" s="93">
        <v>42251</v>
      </c>
      <c r="L78" s="96">
        <v>22621</v>
      </c>
      <c r="M78" s="96">
        <v>41421</v>
      </c>
      <c r="N78" s="96">
        <v>44218</v>
      </c>
      <c r="O78" s="96">
        <v>62841</v>
      </c>
      <c r="P78" s="93">
        <v>62841</v>
      </c>
      <c r="Q78" s="96">
        <v>52757</v>
      </c>
      <c r="R78" s="96">
        <v>72369</v>
      </c>
      <c r="S78" s="96">
        <v>58544</v>
      </c>
      <c r="T78" s="96">
        <v>88126</v>
      </c>
      <c r="U78" s="93">
        <v>88126</v>
      </c>
      <c r="V78" s="96">
        <v>56419</v>
      </c>
      <c r="W78" s="96">
        <v>56780</v>
      </c>
      <c r="X78" s="96">
        <v>81251</v>
      </c>
      <c r="Y78" s="96">
        <v>64170</v>
      </c>
      <c r="Z78" s="93">
        <v>64170</v>
      </c>
      <c r="AA78" s="96">
        <v>396934</v>
      </c>
      <c r="AB78" s="96">
        <v>295700</v>
      </c>
      <c r="AC78" s="96">
        <v>397461</v>
      </c>
      <c r="AD78" s="96">
        <f t="shared" si="0"/>
        <v>-690991</v>
      </c>
      <c r="AE78" s="93">
        <v>399104</v>
      </c>
      <c r="AF78" s="96">
        <v>373096</v>
      </c>
      <c r="AG78" s="96">
        <v>175970</v>
      </c>
      <c r="AH78" s="96">
        <v>112416</v>
      </c>
      <c r="AI78" s="96">
        <v>129721</v>
      </c>
      <c r="AJ78" s="93">
        <v>129721</v>
      </c>
      <c r="AK78" s="96">
        <v>316210</v>
      </c>
      <c r="AL78" s="96">
        <v>282519</v>
      </c>
      <c r="AM78" s="96">
        <v>304813</v>
      </c>
      <c r="AN78" s="96">
        <v>221628</v>
      </c>
      <c r="AO78" s="97">
        <v>221628</v>
      </c>
      <c r="AP78" s="96">
        <v>242537</v>
      </c>
      <c r="AQ78" s="96">
        <v>532136</v>
      </c>
      <c r="AR78" s="96">
        <v>224564</v>
      </c>
      <c r="AS78" s="96">
        <v>186926</v>
      </c>
      <c r="AT78" s="97">
        <v>186926</v>
      </c>
      <c r="AU78" s="291">
        <v>178703</v>
      </c>
      <c r="AV78" s="96">
        <v>144088</v>
      </c>
      <c r="AW78" s="96">
        <v>309939</v>
      </c>
      <c r="AX78" s="96">
        <v>362802</v>
      </c>
      <c r="AY78" s="96">
        <v>313124</v>
      </c>
      <c r="AZ78" s="97">
        <v>313124</v>
      </c>
      <c r="BA78" s="373">
        <v>144088</v>
      </c>
      <c r="BB78" s="96">
        <v>309939</v>
      </c>
      <c r="BC78" s="96">
        <v>362802</v>
      </c>
      <c r="BD78" s="96">
        <v>313166</v>
      </c>
      <c r="BE78" s="96">
        <v>313166</v>
      </c>
      <c r="BF78" s="96">
        <v>313166</v>
      </c>
      <c r="BG78" s="96">
        <v>313166</v>
      </c>
      <c r="BH78" s="96">
        <v>319345</v>
      </c>
      <c r="BI78" s="96">
        <v>365257</v>
      </c>
      <c r="BJ78" s="96">
        <v>365257</v>
      </c>
      <c r="BK78" s="96">
        <v>317543</v>
      </c>
      <c r="BL78" s="96">
        <v>317543</v>
      </c>
      <c r="BM78" s="96">
        <v>311133</v>
      </c>
      <c r="BN78" s="96">
        <v>311133</v>
      </c>
      <c r="BO78" s="96">
        <v>208661</v>
      </c>
      <c r="BP78" s="96">
        <v>233682</v>
      </c>
      <c r="BQ78" s="96">
        <v>325258</v>
      </c>
      <c r="BR78" s="61">
        <v>318307</v>
      </c>
      <c r="BS78" s="61">
        <v>318307</v>
      </c>
    </row>
    <row r="79" spans="1:71" ht="12.75">
      <c r="A79" s="509" t="s">
        <v>608</v>
      </c>
      <c r="B79" s="96"/>
      <c r="C79" s="96"/>
      <c r="D79" s="96"/>
      <c r="E79" s="96"/>
      <c r="F79" s="93"/>
      <c r="G79" s="96"/>
      <c r="H79" s="96"/>
      <c r="I79" s="96"/>
      <c r="J79" s="96"/>
      <c r="K79" s="93"/>
      <c r="L79" s="96"/>
      <c r="M79" s="96"/>
      <c r="N79" s="96"/>
      <c r="O79" s="96"/>
      <c r="P79" s="93"/>
      <c r="Q79" s="96"/>
      <c r="R79" s="96"/>
      <c r="S79" s="96"/>
      <c r="T79" s="96"/>
      <c r="U79" s="93"/>
      <c r="V79" s="96"/>
      <c r="W79" s="96"/>
      <c r="X79" s="96"/>
      <c r="Y79" s="96"/>
      <c r="Z79" s="93"/>
      <c r="AA79" s="96"/>
      <c r="AB79" s="96"/>
      <c r="AC79" s="96"/>
      <c r="AD79" s="96"/>
      <c r="AE79" s="93"/>
      <c r="AF79" s="96"/>
      <c r="AG79" s="96"/>
      <c r="AH79" s="96"/>
      <c r="AI79" s="96"/>
      <c r="AJ79" s="93"/>
      <c r="AK79" s="96"/>
      <c r="AL79" s="96"/>
      <c r="AM79" s="96"/>
      <c r="AN79" s="96"/>
      <c r="AO79" s="97"/>
      <c r="AP79" s="96"/>
      <c r="AQ79" s="96"/>
      <c r="AR79" s="96"/>
      <c r="AS79" s="96"/>
      <c r="AT79" s="97"/>
      <c r="AU79" s="291"/>
      <c r="AV79" s="96"/>
      <c r="AW79" s="96"/>
      <c r="AX79" s="96"/>
      <c r="AY79" s="96"/>
      <c r="AZ79" s="97"/>
      <c r="BA79" s="373"/>
      <c r="BB79" s="96"/>
      <c r="BC79" s="96"/>
      <c r="BD79" s="96"/>
      <c r="BE79" s="96"/>
      <c r="BF79" s="96"/>
      <c r="BG79" s="96"/>
      <c r="BH79" s="96"/>
      <c r="BI79" s="96"/>
      <c r="BJ79" s="96"/>
      <c r="BK79" s="96"/>
      <c r="BL79" s="96"/>
      <c r="BM79" s="96"/>
      <c r="BN79" s="96"/>
      <c r="BO79" s="96"/>
      <c r="BP79" s="96"/>
      <c r="BQ79" s="96"/>
      <c r="BR79" s="96"/>
      <c r="BS79" s="96"/>
    </row>
    <row r="80" spans="1:71" ht="12.75">
      <c r="A80" s="508" t="s">
        <v>609</v>
      </c>
      <c r="B80" s="96"/>
      <c r="C80" s="96"/>
      <c r="D80" s="96"/>
      <c r="E80" s="96"/>
      <c r="F80" s="93"/>
      <c r="G80" s="96"/>
      <c r="H80" s="96"/>
      <c r="I80" s="96"/>
      <c r="J80" s="96"/>
      <c r="K80" s="93"/>
      <c r="L80" s="96"/>
      <c r="M80" s="96"/>
      <c r="N80" s="96"/>
      <c r="O80" s="96"/>
      <c r="P80" s="93"/>
      <c r="Q80" s="96"/>
      <c r="R80" s="96"/>
      <c r="S80" s="96"/>
      <c r="T80" s="96"/>
      <c r="U80" s="93"/>
      <c r="V80" s="96"/>
      <c r="W80" s="96"/>
      <c r="X80" s="96"/>
      <c r="Y80" s="96"/>
      <c r="Z80" s="93"/>
      <c r="AA80" s="96"/>
      <c r="AB80" s="96"/>
      <c r="AC80" s="96"/>
      <c r="AD80" s="96"/>
      <c r="AE80" s="93"/>
      <c r="AF80" s="96"/>
      <c r="AG80" s="96"/>
      <c r="AH80" s="96"/>
      <c r="AI80" s="96"/>
      <c r="AJ80" s="93"/>
      <c r="AK80" s="96"/>
      <c r="AL80" s="96"/>
      <c r="AM80" s="96"/>
      <c r="AN80" s="96"/>
      <c r="AO80" s="97"/>
      <c r="AP80" s="96"/>
      <c r="AQ80" s="96"/>
      <c r="AR80" s="96"/>
      <c r="AS80" s="96"/>
      <c r="AT80" s="97"/>
      <c r="AU80" s="291"/>
      <c r="AV80" s="96"/>
      <c r="AW80" s="96"/>
      <c r="AX80" s="96"/>
      <c r="AY80" s="96"/>
      <c r="AZ80" s="97"/>
      <c r="BA80" s="373"/>
      <c r="BB80" s="96"/>
      <c r="BC80" s="96"/>
      <c r="BD80" s="96"/>
      <c r="BE80" s="96"/>
      <c r="BF80" s="96"/>
      <c r="BG80" s="96"/>
      <c r="BH80" s="96"/>
      <c r="BI80" s="96"/>
      <c r="BJ80" s="96"/>
      <c r="BK80" s="96"/>
      <c r="BL80" s="96"/>
      <c r="BM80" s="96"/>
      <c r="BN80" s="96"/>
      <c r="BO80" s="88">
        <v>208661</v>
      </c>
      <c r="BP80" s="88">
        <v>233079</v>
      </c>
      <c r="BQ80" s="88">
        <v>324473</v>
      </c>
      <c r="BR80" s="88">
        <v>318307</v>
      </c>
      <c r="BS80" s="88">
        <v>318307</v>
      </c>
    </row>
    <row r="81" spans="1:71" ht="12.75">
      <c r="A81" s="508" t="s">
        <v>610</v>
      </c>
      <c r="B81" s="96"/>
      <c r="C81" s="96"/>
      <c r="D81" s="96"/>
      <c r="E81" s="96"/>
      <c r="F81" s="93"/>
      <c r="G81" s="96"/>
      <c r="H81" s="96"/>
      <c r="I81" s="96"/>
      <c r="J81" s="96"/>
      <c r="K81" s="93"/>
      <c r="L81" s="96"/>
      <c r="M81" s="96"/>
      <c r="N81" s="96"/>
      <c r="O81" s="96"/>
      <c r="P81" s="93"/>
      <c r="Q81" s="96"/>
      <c r="R81" s="96"/>
      <c r="S81" s="96"/>
      <c r="T81" s="96"/>
      <c r="U81" s="93"/>
      <c r="V81" s="96"/>
      <c r="W81" s="96"/>
      <c r="X81" s="96"/>
      <c r="Y81" s="96"/>
      <c r="Z81" s="93"/>
      <c r="AA81" s="96"/>
      <c r="AB81" s="96"/>
      <c r="AC81" s="96"/>
      <c r="AD81" s="96"/>
      <c r="AE81" s="93"/>
      <c r="AF81" s="96"/>
      <c r="AG81" s="96"/>
      <c r="AH81" s="96"/>
      <c r="AI81" s="96"/>
      <c r="AJ81" s="93"/>
      <c r="AK81" s="96"/>
      <c r="AL81" s="96"/>
      <c r="AM81" s="96"/>
      <c r="AN81" s="96"/>
      <c r="AO81" s="97"/>
      <c r="AP81" s="96"/>
      <c r="AQ81" s="96"/>
      <c r="AR81" s="96"/>
      <c r="AS81" s="96"/>
      <c r="AT81" s="97"/>
      <c r="AU81" s="291"/>
      <c r="AV81" s="96"/>
      <c r="AW81" s="96"/>
      <c r="AX81" s="96"/>
      <c r="AY81" s="96"/>
      <c r="AZ81" s="97"/>
      <c r="BA81" s="373"/>
      <c r="BB81" s="96"/>
      <c r="BC81" s="96"/>
      <c r="BD81" s="96"/>
      <c r="BE81" s="96"/>
      <c r="BF81" s="96"/>
      <c r="BG81" s="96"/>
      <c r="BH81" s="96"/>
      <c r="BI81" s="96"/>
      <c r="BJ81" s="96"/>
      <c r="BK81" s="96"/>
      <c r="BL81" s="96"/>
      <c r="BM81" s="96"/>
      <c r="BN81" s="96"/>
      <c r="BO81" s="88">
        <v>0</v>
      </c>
      <c r="BP81" s="88">
        <v>603</v>
      </c>
      <c r="BQ81" s="88">
        <v>785</v>
      </c>
      <c r="BR81" s="88"/>
      <c r="BS81" s="88"/>
    </row>
    <row r="82" ht="12.75"/>
    <row r="83" ht="12.75">
      <c r="A83" s="3" t="s">
        <v>478</v>
      </c>
    </row>
    <row r="84" ht="12.75">
      <c r="A84" s="91" t="s">
        <v>549</v>
      </c>
    </row>
    <row r="85" spans="1:72" s="3" customFormat="1" ht="12.75">
      <c r="A85" s="3" t="s">
        <v>592</v>
      </c>
      <c r="AS85" s="265"/>
      <c r="AU85" s="265"/>
      <c r="AW85" s="265"/>
      <c r="BA85" s="265"/>
      <c r="BB85" s="265"/>
      <c r="BE85" s="360"/>
      <c r="BL85" s="171"/>
      <c r="BM85" s="171"/>
      <c r="BN85" s="171"/>
      <c r="BO85" s="171"/>
      <c r="BP85" s="171"/>
      <c r="BQ85" s="171"/>
      <c r="BR85" s="171"/>
      <c r="BS85" s="171"/>
      <c r="BT85" s="171"/>
    </row>
    <row r="86" ht="12.75"/>
  </sheetData>
  <sheetProtection/>
  <printOptions/>
  <pageMargins left="0.75" right="0.75" top="1" bottom="1" header="0.5" footer="0.5"/>
  <pageSetup fitToHeight="1" fitToWidth="1" horizontalDpi="300" verticalDpi="300" orientation="portrait" paperSize="9" scale="15" r:id="rId1"/>
</worksheet>
</file>

<file path=xl/worksheets/sheet14.xml><?xml version="1.0" encoding="utf-8"?>
<worksheet xmlns="http://schemas.openxmlformats.org/spreadsheetml/2006/main" xmlns:r="http://schemas.openxmlformats.org/officeDocument/2006/relationships">
  <sheetPr>
    <tabColor indexed="13"/>
    <pageSetUpPr fitToPage="1"/>
  </sheetPr>
  <dimension ref="A1:BW168"/>
  <sheetViews>
    <sheetView zoomScalePageLayoutView="0" workbookViewId="0" topLeftCell="A1">
      <pane xSplit="1" ySplit="4" topLeftCell="BP5" activePane="bottomRight" state="frozen"/>
      <selection pane="topLeft" activeCell="AR8" sqref="AR8"/>
      <selection pane="topRight" activeCell="AR8" sqref="AR8"/>
      <selection pane="bottomLeft" activeCell="AR8" sqref="AR8"/>
      <selection pane="bottomRight" activeCell="A1" sqref="A1"/>
    </sheetView>
  </sheetViews>
  <sheetFormatPr defaultColWidth="9.140625" defaultRowHeight="12.75" zeroHeight="1" outlineLevelCol="1"/>
  <cols>
    <col min="1" max="1" width="78.8515625" style="91" customWidth="1"/>
    <col min="2" max="21" width="12.28125" style="91" customWidth="1" outlineLevel="1"/>
    <col min="22" max="46" width="12.28125" style="91" customWidth="1"/>
    <col min="47" max="47" width="12.28125" style="290" customWidth="1"/>
    <col min="48" max="48" width="12.28125" style="91" customWidth="1"/>
    <col min="49" max="49" width="12.28125" style="290" customWidth="1"/>
    <col min="50" max="52" width="12.28125" style="91" customWidth="1"/>
    <col min="53" max="54" width="12.28125" style="290" customWidth="1"/>
    <col min="55" max="56" width="12.28125" style="91" customWidth="1"/>
    <col min="57" max="57" width="12.28125" style="371" customWidth="1"/>
    <col min="58" max="75" width="12.28125" style="91" customWidth="1"/>
    <col min="76" max="16384" width="9.140625" style="91" customWidth="1"/>
  </cols>
  <sheetData>
    <row r="1" ht="12.75">
      <c r="A1" s="118" t="s">
        <v>191</v>
      </c>
    </row>
    <row r="2" ht="12.75">
      <c r="A2" s="125"/>
    </row>
    <row r="3" spans="6:31" ht="12.75">
      <c r="F3" s="119" t="s">
        <v>227</v>
      </c>
      <c r="K3" s="119" t="s">
        <v>227</v>
      </c>
      <c r="P3" s="119" t="s">
        <v>227</v>
      </c>
      <c r="U3" s="119" t="s">
        <v>227</v>
      </c>
      <c r="Z3" s="119" t="s">
        <v>227</v>
      </c>
      <c r="AE3" s="119" t="s">
        <v>227</v>
      </c>
    </row>
    <row r="4" spans="1:75" s="255" customFormat="1" ht="26.25" customHeight="1">
      <c r="A4" s="254" t="s">
        <v>528</v>
      </c>
      <c r="B4" s="90" t="s">
        <v>2</v>
      </c>
      <c r="C4" s="90" t="s">
        <v>3</v>
      </c>
      <c r="D4" s="90" t="s">
        <v>4</v>
      </c>
      <c r="E4" s="90" t="s">
        <v>5</v>
      </c>
      <c r="F4" s="90" t="s">
        <v>6</v>
      </c>
      <c r="G4" s="90" t="s">
        <v>12</v>
      </c>
      <c r="H4" s="90" t="s">
        <v>13</v>
      </c>
      <c r="I4" s="90" t="s">
        <v>14</v>
      </c>
      <c r="J4" s="90" t="s">
        <v>15</v>
      </c>
      <c r="K4" s="90" t="s">
        <v>16</v>
      </c>
      <c r="L4" s="90" t="s">
        <v>17</v>
      </c>
      <c r="M4" s="90" t="s">
        <v>18</v>
      </c>
      <c r="N4" s="90" t="s">
        <v>19</v>
      </c>
      <c r="O4" s="90" t="s">
        <v>20</v>
      </c>
      <c r="P4" s="90" t="s">
        <v>21</v>
      </c>
      <c r="Q4" s="90" t="s">
        <v>22</v>
      </c>
      <c r="R4" s="90" t="s">
        <v>23</v>
      </c>
      <c r="S4" s="90" t="s">
        <v>24</v>
      </c>
      <c r="T4" s="90" t="s">
        <v>25</v>
      </c>
      <c r="U4" s="90" t="s">
        <v>26</v>
      </c>
      <c r="V4" s="90" t="s">
        <v>27</v>
      </c>
      <c r="W4" s="90" t="s">
        <v>28</v>
      </c>
      <c r="X4" s="90" t="s">
        <v>29</v>
      </c>
      <c r="Y4" s="90" t="s">
        <v>30</v>
      </c>
      <c r="Z4" s="90" t="s">
        <v>31</v>
      </c>
      <c r="AA4" s="90" t="s">
        <v>32</v>
      </c>
      <c r="AB4" s="90" t="s">
        <v>33</v>
      </c>
      <c r="AC4" s="90" t="s">
        <v>34</v>
      </c>
      <c r="AD4" s="90" t="s">
        <v>271</v>
      </c>
      <c r="AE4" s="90" t="s">
        <v>272</v>
      </c>
      <c r="AF4" s="90" t="s">
        <v>274</v>
      </c>
      <c r="AG4" s="90" t="s">
        <v>276</v>
      </c>
      <c r="AH4" s="90" t="s">
        <v>278</v>
      </c>
      <c r="AI4" s="90" t="s">
        <v>280</v>
      </c>
      <c r="AJ4" s="90" t="s">
        <v>281</v>
      </c>
      <c r="AK4" s="90" t="s">
        <v>289</v>
      </c>
      <c r="AL4" s="90" t="s">
        <v>290</v>
      </c>
      <c r="AM4" s="90" t="s">
        <v>291</v>
      </c>
      <c r="AN4" s="90" t="s">
        <v>292</v>
      </c>
      <c r="AO4" s="90" t="s">
        <v>293</v>
      </c>
      <c r="AP4" s="90" t="s">
        <v>329</v>
      </c>
      <c r="AQ4" s="90">
        <v>25560</v>
      </c>
      <c r="AR4" s="90" t="s">
        <v>331</v>
      </c>
      <c r="AS4" s="289" t="s">
        <v>490</v>
      </c>
      <c r="AT4" s="90" t="s">
        <v>332</v>
      </c>
      <c r="AU4" s="289" t="s">
        <v>477</v>
      </c>
      <c r="AV4" s="90" t="s">
        <v>333</v>
      </c>
      <c r="AW4" s="289" t="s">
        <v>463</v>
      </c>
      <c r="AX4" s="90" t="s">
        <v>448</v>
      </c>
      <c r="AY4" s="90" t="s">
        <v>451</v>
      </c>
      <c r="AZ4" s="90" t="s">
        <v>453</v>
      </c>
      <c r="BA4" s="289" t="s">
        <v>480</v>
      </c>
      <c r="BB4" s="289" t="s">
        <v>480</v>
      </c>
      <c r="BC4" s="90" t="s">
        <v>454</v>
      </c>
      <c r="BD4" s="90" t="s">
        <v>457</v>
      </c>
      <c r="BE4" s="342" t="s">
        <v>492</v>
      </c>
      <c r="BF4" s="7" t="s">
        <v>553</v>
      </c>
      <c r="BG4" s="7" t="s">
        <v>560</v>
      </c>
      <c r="BH4" s="7" t="s">
        <v>493</v>
      </c>
      <c r="BI4" s="7"/>
      <c r="BJ4" s="90" t="s">
        <v>494</v>
      </c>
      <c r="BK4" s="90"/>
      <c r="BL4" s="7" t="s">
        <v>495</v>
      </c>
      <c r="BM4" s="7" t="s">
        <v>554</v>
      </c>
      <c r="BN4" s="7" t="s">
        <v>611</v>
      </c>
      <c r="BO4" s="7" t="s">
        <v>561</v>
      </c>
      <c r="BP4" s="7"/>
      <c r="BQ4" s="7" t="s">
        <v>570</v>
      </c>
      <c r="BR4" s="120" t="s">
        <v>602</v>
      </c>
      <c r="BS4" s="7" t="s">
        <v>595</v>
      </c>
      <c r="BT4" s="7" t="s">
        <v>605</v>
      </c>
      <c r="BU4" s="7" t="s">
        <v>617</v>
      </c>
      <c r="BV4" s="7" t="s">
        <v>619</v>
      </c>
      <c r="BW4" s="120" t="s">
        <v>620</v>
      </c>
    </row>
    <row r="5" spans="1:75" ht="12.75" customHeight="1">
      <c r="A5" s="125" t="s">
        <v>524</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3"/>
      <c r="AJ5" s="123"/>
      <c r="AK5" s="123"/>
      <c r="AL5" s="123"/>
      <c r="AM5" s="123"/>
      <c r="AN5" s="123"/>
      <c r="AO5" s="123"/>
      <c r="AP5" s="123"/>
      <c r="AQ5" s="90">
        <v>498</v>
      </c>
      <c r="AR5" s="123"/>
      <c r="AS5" s="123"/>
      <c r="AT5" s="123"/>
      <c r="AU5" s="301"/>
      <c r="AV5" s="123"/>
      <c r="AW5" s="301"/>
      <c r="AX5" s="123"/>
      <c r="AY5" s="123"/>
      <c r="AZ5" s="123"/>
      <c r="BA5" s="301"/>
      <c r="BB5" s="301"/>
      <c r="BC5" s="123"/>
      <c r="BD5" s="123"/>
      <c r="BE5" s="379"/>
      <c r="BF5" s="123"/>
      <c r="BG5" s="123"/>
      <c r="BH5" s="123"/>
      <c r="BI5" s="123"/>
      <c r="BJ5" s="123"/>
      <c r="BK5" s="123"/>
      <c r="BL5" s="123"/>
      <c r="BM5" s="123"/>
      <c r="BN5" s="123"/>
      <c r="BO5" s="123"/>
      <c r="BP5" s="123"/>
      <c r="BQ5" s="123"/>
      <c r="BR5" s="123"/>
      <c r="BS5" s="123"/>
      <c r="BT5" s="123"/>
      <c r="BU5" s="123"/>
      <c r="BV5" s="123"/>
      <c r="BW5" s="123"/>
    </row>
    <row r="6" spans="1:75" ht="12.75" customHeight="1">
      <c r="A6" s="139" t="s">
        <v>518</v>
      </c>
      <c r="B6" s="106"/>
      <c r="C6" s="106"/>
      <c r="D6" s="106"/>
      <c r="E6" s="106"/>
      <c r="F6" s="93">
        <v>165613</v>
      </c>
      <c r="G6" s="106"/>
      <c r="H6" s="106"/>
      <c r="I6" s="106"/>
      <c r="J6" s="106"/>
      <c r="K6" s="93">
        <v>128018</v>
      </c>
      <c r="L6" s="106"/>
      <c r="M6" s="106"/>
      <c r="N6" s="106"/>
      <c r="O6" s="106"/>
      <c r="P6" s="93">
        <v>151457</v>
      </c>
      <c r="Q6" s="106"/>
      <c r="R6" s="106"/>
      <c r="S6" s="106"/>
      <c r="T6" s="106"/>
      <c r="U6" s="93">
        <v>208521</v>
      </c>
      <c r="V6" s="88">
        <v>57315</v>
      </c>
      <c r="W6" s="88">
        <v>64314</v>
      </c>
      <c r="X6" s="88">
        <v>79465</v>
      </c>
      <c r="Y6" s="88">
        <v>88403</v>
      </c>
      <c r="Z6" s="93">
        <v>289497</v>
      </c>
      <c r="AA6" s="88">
        <f>AE6-AD6-AC6-AB6</f>
        <v>99484</v>
      </c>
      <c r="AB6" s="88">
        <v>94403</v>
      </c>
      <c r="AC6" s="88">
        <v>102679</v>
      </c>
      <c r="AD6" s="88">
        <v>93045</v>
      </c>
      <c r="AE6" s="93">
        <v>389611</v>
      </c>
      <c r="AF6" s="88">
        <v>75246</v>
      </c>
      <c r="AG6" s="88">
        <v>76488</v>
      </c>
      <c r="AH6" s="88">
        <v>85486</v>
      </c>
      <c r="AI6" s="88">
        <v>97586</v>
      </c>
      <c r="AJ6" s="93">
        <v>334806</v>
      </c>
      <c r="AK6" s="88">
        <v>93770</v>
      </c>
      <c r="AL6" s="88">
        <v>105691</v>
      </c>
      <c r="AM6" s="88">
        <v>118491</v>
      </c>
      <c r="AN6" s="88">
        <v>110879</v>
      </c>
      <c r="AO6" s="93">
        <v>428831</v>
      </c>
      <c r="AP6" s="88">
        <v>103900</v>
      </c>
      <c r="AQ6" s="88">
        <v>80253</v>
      </c>
      <c r="AR6" s="88">
        <v>128159</v>
      </c>
      <c r="AS6" s="88">
        <v>322421</v>
      </c>
      <c r="AT6" s="88">
        <v>148662</v>
      </c>
      <c r="AU6" s="100">
        <v>167442</v>
      </c>
      <c r="AV6" s="93">
        <v>460974</v>
      </c>
      <c r="AW6" s="101">
        <v>489863</v>
      </c>
      <c r="AX6" s="88">
        <v>171501</v>
      </c>
      <c r="AY6" s="88">
        <v>177035</v>
      </c>
      <c r="AZ6" s="88">
        <v>181632</v>
      </c>
      <c r="BA6" s="100">
        <v>189551</v>
      </c>
      <c r="BB6" s="100">
        <v>553443</v>
      </c>
      <c r="BC6" s="88">
        <v>219224</v>
      </c>
      <c r="BD6" s="93">
        <v>772667</v>
      </c>
      <c r="BE6" s="372">
        <v>171501</v>
      </c>
      <c r="BF6" s="88">
        <v>177035</v>
      </c>
      <c r="BG6" s="88">
        <v>181632</v>
      </c>
      <c r="BH6" s="88">
        <v>181924</v>
      </c>
      <c r="BI6" s="88"/>
      <c r="BJ6" s="93">
        <v>712092</v>
      </c>
      <c r="BK6" s="93"/>
      <c r="BL6" s="88">
        <v>178326</v>
      </c>
      <c r="BM6" s="88">
        <v>199182</v>
      </c>
      <c r="BN6" s="88">
        <v>199182</v>
      </c>
      <c r="BO6" s="88">
        <v>188372</v>
      </c>
      <c r="BP6" s="88"/>
      <c r="BQ6" s="88">
        <v>229425</v>
      </c>
      <c r="BR6" s="93">
        <v>795305</v>
      </c>
      <c r="BS6" s="88">
        <v>215973</v>
      </c>
      <c r="BT6" s="88">
        <v>194717</v>
      </c>
      <c r="BU6" s="88">
        <v>180732</v>
      </c>
      <c r="BV6" s="232">
        <v>187624</v>
      </c>
      <c r="BW6" s="473">
        <v>779046</v>
      </c>
    </row>
    <row r="7" spans="1:75" ht="12.75" customHeight="1">
      <c r="A7" s="139" t="s">
        <v>517</v>
      </c>
      <c r="B7" s="106"/>
      <c r="C7" s="106"/>
      <c r="D7" s="106"/>
      <c r="E7" s="106"/>
      <c r="F7" s="93">
        <v>880787</v>
      </c>
      <c r="G7" s="106"/>
      <c r="H7" s="106"/>
      <c r="I7" s="106"/>
      <c r="J7" s="106"/>
      <c r="K7" s="93">
        <v>728166</v>
      </c>
      <c r="L7" s="106"/>
      <c r="M7" s="106"/>
      <c r="N7" s="106"/>
      <c r="O7" s="106"/>
      <c r="P7" s="93">
        <v>1008382</v>
      </c>
      <c r="Q7" s="106"/>
      <c r="R7" s="106"/>
      <c r="S7" s="106"/>
      <c r="T7" s="106"/>
      <c r="U7" s="93">
        <v>1347458</v>
      </c>
      <c r="V7" s="88">
        <v>318634</v>
      </c>
      <c r="W7" s="88">
        <v>433915</v>
      </c>
      <c r="X7" s="88">
        <v>502707</v>
      </c>
      <c r="Y7" s="88">
        <v>512118</v>
      </c>
      <c r="Z7" s="93">
        <v>1767374</v>
      </c>
      <c r="AA7" s="88">
        <f aca="true" t="shared" si="0" ref="AA7:AA18">AE7-AD7-AC7-AB7</f>
        <v>475932</v>
      </c>
      <c r="AB7" s="88">
        <v>640764</v>
      </c>
      <c r="AC7" s="88">
        <v>681430</v>
      </c>
      <c r="AD7" s="88">
        <v>533128</v>
      </c>
      <c r="AE7" s="93">
        <v>2331254</v>
      </c>
      <c r="AF7" s="88">
        <v>438547</v>
      </c>
      <c r="AG7" s="88">
        <v>539778</v>
      </c>
      <c r="AH7" s="88">
        <v>607818</v>
      </c>
      <c r="AI7" s="88">
        <v>704271</v>
      </c>
      <c r="AJ7" s="93">
        <v>2290414</v>
      </c>
      <c r="AK7" s="88">
        <v>715204</v>
      </c>
      <c r="AL7" s="88">
        <v>846986</v>
      </c>
      <c r="AM7" s="88">
        <v>879957</v>
      </c>
      <c r="AN7" s="88">
        <v>703425</v>
      </c>
      <c r="AO7" s="93">
        <v>3145572</v>
      </c>
      <c r="AP7" s="88">
        <v>504889</v>
      </c>
      <c r="AQ7" s="88">
        <v>606286</v>
      </c>
      <c r="AR7" s="88">
        <v>800071</v>
      </c>
      <c r="AS7" s="88">
        <v>1911246</v>
      </c>
      <c r="AT7" s="88">
        <v>817335</v>
      </c>
      <c r="AU7" s="100">
        <v>809593</v>
      </c>
      <c r="AV7" s="93">
        <v>2728581</v>
      </c>
      <c r="AW7" s="101">
        <v>2720839</v>
      </c>
      <c r="AX7" s="88">
        <v>721850</v>
      </c>
      <c r="AY7" s="88">
        <v>888452</v>
      </c>
      <c r="AZ7" s="88">
        <v>1034675</v>
      </c>
      <c r="BA7" s="100">
        <v>1034675</v>
      </c>
      <c r="BB7" s="100">
        <v>2644977</v>
      </c>
      <c r="BC7" s="88">
        <v>991321</v>
      </c>
      <c r="BD7" s="93">
        <v>3636298</v>
      </c>
      <c r="BE7" s="372">
        <v>843338</v>
      </c>
      <c r="BF7" s="88">
        <v>1009454</v>
      </c>
      <c r="BG7" s="88">
        <v>1180599</v>
      </c>
      <c r="BH7" s="88">
        <v>1115656</v>
      </c>
      <c r="BI7" s="88"/>
      <c r="BJ7" s="93">
        <v>4149047</v>
      </c>
      <c r="BK7" s="93"/>
      <c r="BL7" s="88">
        <v>985982.1</v>
      </c>
      <c r="BM7" s="88">
        <v>1197828</v>
      </c>
      <c r="BN7" s="88">
        <v>1129441.9</v>
      </c>
      <c r="BO7" s="88">
        <v>1248558</v>
      </c>
      <c r="BP7" s="88"/>
      <c r="BQ7" s="88">
        <v>1253433</v>
      </c>
      <c r="BR7" s="93">
        <v>4564311</v>
      </c>
      <c r="BS7" s="88">
        <v>1124925</v>
      </c>
      <c r="BT7" s="88">
        <v>1158421</v>
      </c>
      <c r="BU7" s="88">
        <v>1283932</v>
      </c>
      <c r="BV7" s="232">
        <v>1249913</v>
      </c>
      <c r="BW7" s="473">
        <v>4817191</v>
      </c>
    </row>
    <row r="8" spans="1:75" ht="12.75" customHeight="1">
      <c r="A8" s="139" t="s">
        <v>516</v>
      </c>
      <c r="B8" s="106"/>
      <c r="C8" s="106"/>
      <c r="D8" s="106"/>
      <c r="E8" s="106"/>
      <c r="F8" s="93">
        <v>353898</v>
      </c>
      <c r="G8" s="106"/>
      <c r="H8" s="106"/>
      <c r="I8" s="106"/>
      <c r="J8" s="106"/>
      <c r="K8" s="93">
        <v>377636</v>
      </c>
      <c r="L8" s="106"/>
      <c r="M8" s="106"/>
      <c r="N8" s="106"/>
      <c r="O8" s="106"/>
      <c r="P8" s="93">
        <v>439104</v>
      </c>
      <c r="Q8" s="106"/>
      <c r="R8" s="106"/>
      <c r="S8" s="106"/>
      <c r="T8" s="106"/>
      <c r="U8" s="93">
        <v>541279</v>
      </c>
      <c r="V8" s="88">
        <v>242989</v>
      </c>
      <c r="W8" s="88">
        <v>101640</v>
      </c>
      <c r="X8" s="88">
        <v>83560</v>
      </c>
      <c r="Y8" s="88">
        <v>233572</v>
      </c>
      <c r="Z8" s="93">
        <v>661761</v>
      </c>
      <c r="AA8" s="88">
        <f t="shared" si="0"/>
        <v>317402</v>
      </c>
      <c r="AB8" s="88">
        <v>16185</v>
      </c>
      <c r="AC8" s="88">
        <v>16471</v>
      </c>
      <c r="AD8" s="88">
        <v>18137</v>
      </c>
      <c r="AE8" s="93">
        <v>368195</v>
      </c>
      <c r="AF8" s="88">
        <v>20389</v>
      </c>
      <c r="AG8" s="88">
        <v>16530</v>
      </c>
      <c r="AH8" s="88">
        <v>17641</v>
      </c>
      <c r="AI8" s="88">
        <v>36134</v>
      </c>
      <c r="AJ8" s="93">
        <v>90694</v>
      </c>
      <c r="AK8" s="88">
        <v>38739</v>
      </c>
      <c r="AL8" s="88">
        <v>37791</v>
      </c>
      <c r="AM8" s="88">
        <v>50716</v>
      </c>
      <c r="AN8" s="88">
        <v>72060</v>
      </c>
      <c r="AO8" s="93">
        <v>199306</v>
      </c>
      <c r="AP8" s="88">
        <v>94112</v>
      </c>
      <c r="AQ8" s="88">
        <v>39671</v>
      </c>
      <c r="AR8" s="88">
        <v>213020</v>
      </c>
      <c r="AS8" s="88">
        <v>346803</v>
      </c>
      <c r="AT8" s="88">
        <v>166439</v>
      </c>
      <c r="AU8" s="100">
        <v>166953</v>
      </c>
      <c r="AV8" s="93">
        <v>513242</v>
      </c>
      <c r="AW8" s="101">
        <v>513756</v>
      </c>
      <c r="AX8" s="88">
        <v>143338</v>
      </c>
      <c r="AY8" s="88">
        <v>150507</v>
      </c>
      <c r="AZ8" s="88">
        <v>134453</v>
      </c>
      <c r="BA8" s="100">
        <v>134453</v>
      </c>
      <c r="BB8" s="100">
        <v>428298</v>
      </c>
      <c r="BC8" s="88">
        <v>88344</v>
      </c>
      <c r="BD8" s="93">
        <v>516642</v>
      </c>
      <c r="BE8" s="372">
        <v>191273</v>
      </c>
      <c r="BF8" s="88">
        <v>182004</v>
      </c>
      <c r="BG8" s="88">
        <v>172610</v>
      </c>
      <c r="BH8" s="88">
        <v>152460</v>
      </c>
      <c r="BI8" s="88"/>
      <c r="BJ8" s="93">
        <v>698347</v>
      </c>
      <c r="BK8" s="93"/>
      <c r="BL8" s="88">
        <v>166918</v>
      </c>
      <c r="BM8" s="88">
        <v>34473</v>
      </c>
      <c r="BN8" s="88">
        <v>34473</v>
      </c>
      <c r="BO8" s="88">
        <v>80134</v>
      </c>
      <c r="BP8" s="88"/>
      <c r="BQ8" s="88">
        <v>148659</v>
      </c>
      <c r="BR8" s="93">
        <v>430184</v>
      </c>
      <c r="BS8" s="88">
        <v>153387</v>
      </c>
      <c r="BT8" s="88">
        <v>97348</v>
      </c>
      <c r="BU8" s="88">
        <v>85810</v>
      </c>
      <c r="BV8" s="232">
        <v>125700</v>
      </c>
      <c r="BW8" s="473">
        <v>462245</v>
      </c>
    </row>
    <row r="9" spans="1:75" s="106" customFormat="1" ht="12.75" customHeight="1" hidden="1">
      <c r="A9" s="406" t="s">
        <v>62</v>
      </c>
      <c r="F9" s="106">
        <v>197936</v>
      </c>
      <c r="K9" s="106">
        <v>135322</v>
      </c>
      <c r="P9" s="106">
        <v>197068</v>
      </c>
      <c r="U9" s="106">
        <v>246309</v>
      </c>
      <c r="V9" s="106">
        <v>77636</v>
      </c>
      <c r="W9" s="106">
        <v>86124</v>
      </c>
      <c r="X9" s="106">
        <v>84612</v>
      </c>
      <c r="Y9" s="106">
        <v>107325</v>
      </c>
      <c r="Z9" s="106">
        <v>355697</v>
      </c>
      <c r="AA9" s="106">
        <f t="shared" si="0"/>
        <v>109083</v>
      </c>
      <c r="AB9" s="106">
        <v>111208</v>
      </c>
      <c r="AC9" s="106">
        <v>113269</v>
      </c>
      <c r="AD9" s="106">
        <v>117688</v>
      </c>
      <c r="AE9" s="106">
        <v>451248</v>
      </c>
      <c r="AF9" s="106">
        <v>111768</v>
      </c>
      <c r="AG9" s="106">
        <v>125151</v>
      </c>
      <c r="AH9" s="106">
        <v>124969</v>
      </c>
      <c r="AI9" s="106">
        <v>135728</v>
      </c>
      <c r="AJ9" s="106">
        <v>497616</v>
      </c>
      <c r="AK9" s="106">
        <v>138460</v>
      </c>
      <c r="AL9" s="106">
        <v>116859</v>
      </c>
      <c r="AM9" s="106">
        <v>115808</v>
      </c>
      <c r="AN9" s="106">
        <v>99329</v>
      </c>
      <c r="AO9" s="106">
        <v>470456</v>
      </c>
      <c r="AP9" s="106">
        <v>83825</v>
      </c>
      <c r="AQ9" s="106">
        <v>81149</v>
      </c>
      <c r="AR9" s="106">
        <v>108848</v>
      </c>
      <c r="AS9" s="106">
        <v>273822</v>
      </c>
      <c r="AT9" s="106">
        <v>114460</v>
      </c>
      <c r="AU9" s="300">
        <v>114458</v>
      </c>
      <c r="AV9" s="106">
        <v>388282</v>
      </c>
      <c r="AW9" s="300">
        <v>388280</v>
      </c>
      <c r="AX9" s="106">
        <v>119726</v>
      </c>
      <c r="AY9" s="106">
        <v>122258</v>
      </c>
      <c r="AZ9" s="106">
        <v>146501</v>
      </c>
      <c r="BA9" s="300">
        <v>146501</v>
      </c>
      <c r="BB9" s="300">
        <v>388485</v>
      </c>
      <c r="BC9" s="106">
        <v>135722</v>
      </c>
      <c r="BD9" s="106">
        <v>524207</v>
      </c>
      <c r="BE9" s="378"/>
      <c r="BG9" s="106">
        <v>0</v>
      </c>
      <c r="BM9" s="106">
        <v>0</v>
      </c>
      <c r="BO9" s="106">
        <v>0</v>
      </c>
      <c r="BU9" s="106">
        <v>0</v>
      </c>
      <c r="BV9" s="428">
        <v>0</v>
      </c>
      <c r="BW9" s="428">
        <v>0</v>
      </c>
    </row>
    <row r="10" spans="1:75" ht="12.75" customHeight="1">
      <c r="A10" s="124" t="s">
        <v>195</v>
      </c>
      <c r="B10" s="106"/>
      <c r="C10" s="106"/>
      <c r="D10" s="106"/>
      <c r="E10" s="106"/>
      <c r="F10" s="93">
        <v>43463</v>
      </c>
      <c r="G10" s="106"/>
      <c r="H10" s="106"/>
      <c r="I10" s="106"/>
      <c r="J10" s="106"/>
      <c r="K10" s="93">
        <v>35228</v>
      </c>
      <c r="L10" s="106"/>
      <c r="M10" s="106"/>
      <c r="N10" s="106"/>
      <c r="O10" s="106"/>
      <c r="P10" s="93">
        <v>25060</v>
      </c>
      <c r="Q10" s="106"/>
      <c r="R10" s="106"/>
      <c r="S10" s="106"/>
      <c r="T10" s="106"/>
      <c r="U10" s="93">
        <v>93006</v>
      </c>
      <c r="V10" s="88">
        <v>15351</v>
      </c>
      <c r="W10" s="88">
        <v>20025</v>
      </c>
      <c r="X10" s="88">
        <v>21854</v>
      </c>
      <c r="Y10" s="88">
        <v>40028</v>
      </c>
      <c r="Z10" s="93">
        <v>97258</v>
      </c>
      <c r="AA10" s="88">
        <f t="shared" si="0"/>
        <v>17138</v>
      </c>
      <c r="AB10" s="88">
        <v>22454</v>
      </c>
      <c r="AC10" s="88">
        <v>22937</v>
      </c>
      <c r="AD10" s="88">
        <v>40505</v>
      </c>
      <c r="AE10" s="93">
        <v>103034</v>
      </c>
      <c r="AF10" s="88">
        <v>15419</v>
      </c>
      <c r="AG10" s="88">
        <v>21803</v>
      </c>
      <c r="AH10" s="88">
        <v>22823</v>
      </c>
      <c r="AI10" s="88">
        <v>42118</v>
      </c>
      <c r="AJ10" s="93">
        <v>102163</v>
      </c>
      <c r="AK10" s="88">
        <v>20521</v>
      </c>
      <c r="AL10" s="88">
        <v>36220</v>
      </c>
      <c r="AM10" s="88">
        <v>39950</v>
      </c>
      <c r="AN10" s="88">
        <v>51837</v>
      </c>
      <c r="AO10" s="93">
        <v>148528</v>
      </c>
      <c r="AP10" s="88">
        <v>34319</v>
      </c>
      <c r="AQ10" s="88">
        <v>39126</v>
      </c>
      <c r="AR10" s="88">
        <v>35178</v>
      </c>
      <c r="AS10" s="88">
        <v>108623</v>
      </c>
      <c r="AT10" s="88">
        <v>56991</v>
      </c>
      <c r="AU10" s="100">
        <v>56055</v>
      </c>
      <c r="AV10" s="93">
        <v>165614</v>
      </c>
      <c r="AW10" s="101">
        <v>164678</v>
      </c>
      <c r="AX10" s="88">
        <v>27774</v>
      </c>
      <c r="AY10" s="88">
        <v>47520</v>
      </c>
      <c r="AZ10" s="88">
        <v>42386</v>
      </c>
      <c r="BA10" s="100">
        <v>42386</v>
      </c>
      <c r="BB10" s="100">
        <v>117680</v>
      </c>
      <c r="BC10" s="88">
        <v>45142</v>
      </c>
      <c r="BD10" s="93">
        <v>162822</v>
      </c>
      <c r="BE10" s="372">
        <v>27774</v>
      </c>
      <c r="BF10" s="88">
        <v>47520</v>
      </c>
      <c r="BG10" s="88">
        <v>42386</v>
      </c>
      <c r="BH10" s="88">
        <v>46806</v>
      </c>
      <c r="BI10" s="88"/>
      <c r="BJ10" s="93">
        <v>164486</v>
      </c>
      <c r="BK10" s="93"/>
      <c r="BL10" s="88">
        <v>34688</v>
      </c>
      <c r="BM10" s="88">
        <v>36048</v>
      </c>
      <c r="BN10" s="88">
        <v>36048</v>
      </c>
      <c r="BO10" s="88">
        <v>40073</v>
      </c>
      <c r="BP10" s="88"/>
      <c r="BQ10" s="88">
        <v>54189</v>
      </c>
      <c r="BR10" s="93">
        <v>164998</v>
      </c>
      <c r="BS10" s="88">
        <v>30285</v>
      </c>
      <c r="BT10" s="88">
        <v>44983</v>
      </c>
      <c r="BU10" s="88">
        <v>43487</v>
      </c>
      <c r="BV10" s="232">
        <v>39389</v>
      </c>
      <c r="BW10" s="473">
        <v>158144</v>
      </c>
    </row>
    <row r="11" spans="1:75" ht="12.75" customHeight="1">
      <c r="A11" s="95" t="s">
        <v>196</v>
      </c>
      <c r="B11" s="106"/>
      <c r="C11" s="106"/>
      <c r="D11" s="106"/>
      <c r="E11" s="106"/>
      <c r="F11" s="97">
        <v>1641697</v>
      </c>
      <c r="G11" s="106"/>
      <c r="H11" s="106"/>
      <c r="I11" s="106"/>
      <c r="J11" s="106"/>
      <c r="K11" s="97">
        <v>1404370</v>
      </c>
      <c r="L11" s="106"/>
      <c r="M11" s="106"/>
      <c r="N11" s="106"/>
      <c r="O11" s="106"/>
      <c r="P11" s="97">
        <v>1821071</v>
      </c>
      <c r="Q11" s="106"/>
      <c r="R11" s="106"/>
      <c r="S11" s="106"/>
      <c r="T11" s="106"/>
      <c r="U11" s="97">
        <v>2436573</v>
      </c>
      <c r="V11" s="96">
        <v>711925</v>
      </c>
      <c r="W11" s="96">
        <v>706018</v>
      </c>
      <c r="X11" s="96">
        <v>772198</v>
      </c>
      <c r="Y11" s="96">
        <v>981446</v>
      </c>
      <c r="Z11" s="97">
        <v>3171587</v>
      </c>
      <c r="AA11" s="96">
        <f t="shared" si="0"/>
        <v>1019039</v>
      </c>
      <c r="AB11" s="96">
        <v>885014</v>
      </c>
      <c r="AC11" s="96">
        <v>936786</v>
      </c>
      <c r="AD11" s="96">
        <v>802503</v>
      </c>
      <c r="AE11" s="97">
        <v>3643342</v>
      </c>
      <c r="AF11" s="96">
        <v>661369</v>
      </c>
      <c r="AG11" s="96">
        <v>779750</v>
      </c>
      <c r="AH11" s="96">
        <v>858737</v>
      </c>
      <c r="AI11" s="96">
        <v>1015837</v>
      </c>
      <c r="AJ11" s="97">
        <v>3315693</v>
      </c>
      <c r="AK11" s="96">
        <v>1006694</v>
      </c>
      <c r="AL11" s="96">
        <v>1143547</v>
      </c>
      <c r="AM11" s="96">
        <v>1204922</v>
      </c>
      <c r="AN11" s="96">
        <v>1037530</v>
      </c>
      <c r="AO11" s="97">
        <v>4392693</v>
      </c>
      <c r="AP11" s="96">
        <v>821045</v>
      </c>
      <c r="AQ11" s="96">
        <v>846485</v>
      </c>
      <c r="AR11" s="96">
        <v>1285276</v>
      </c>
      <c r="AS11" s="96">
        <v>2962915</v>
      </c>
      <c r="AT11" s="96">
        <v>1303887</v>
      </c>
      <c r="AU11" s="294">
        <v>1314501</v>
      </c>
      <c r="AV11" s="97">
        <v>4256693</v>
      </c>
      <c r="AW11" s="291">
        <v>4277416</v>
      </c>
      <c r="AX11" s="96">
        <v>1184189</v>
      </c>
      <c r="AY11" s="96">
        <v>1385772</v>
      </c>
      <c r="AZ11" s="96">
        <v>1539647</v>
      </c>
      <c r="BA11" s="294">
        <v>1547566</v>
      </c>
      <c r="BB11" s="294">
        <v>4132883</v>
      </c>
      <c r="BC11" s="96">
        <v>1479753</v>
      </c>
      <c r="BD11" s="97">
        <v>5612636</v>
      </c>
      <c r="BE11" s="373">
        <v>1233886</v>
      </c>
      <c r="BF11" s="96">
        <v>1416013</v>
      </c>
      <c r="BG11" s="96">
        <v>1577227</v>
      </c>
      <c r="BH11" s="96">
        <v>1496846</v>
      </c>
      <c r="BI11" s="96"/>
      <c r="BJ11" s="97">
        <v>5723972</v>
      </c>
      <c r="BK11" s="97"/>
      <c r="BL11" s="96">
        <v>1365914.1</v>
      </c>
      <c r="BM11" s="96">
        <v>1467531</v>
      </c>
      <c r="BN11" s="96">
        <v>1399144.9</v>
      </c>
      <c r="BO11" s="96">
        <v>1557137</v>
      </c>
      <c r="BP11" s="96"/>
      <c r="BQ11" s="96">
        <v>1685706</v>
      </c>
      <c r="BR11" s="97">
        <v>5954798</v>
      </c>
      <c r="BS11" s="96">
        <v>1524570</v>
      </c>
      <c r="BT11" s="96">
        <v>1495469</v>
      </c>
      <c r="BU11" s="96">
        <v>1593961</v>
      </c>
      <c r="BV11" s="237">
        <v>1602626</v>
      </c>
      <c r="BW11" s="474">
        <v>6216626</v>
      </c>
    </row>
    <row r="12" spans="1:75" ht="12.75" customHeight="1">
      <c r="A12" s="92" t="s">
        <v>197</v>
      </c>
      <c r="B12" s="106"/>
      <c r="C12" s="106"/>
      <c r="D12" s="106"/>
      <c r="E12" s="106"/>
      <c r="F12" s="93">
        <v>-466928</v>
      </c>
      <c r="G12" s="106"/>
      <c r="H12" s="106"/>
      <c r="I12" s="106"/>
      <c r="J12" s="106"/>
      <c r="K12" s="93">
        <v>-244713</v>
      </c>
      <c r="L12" s="106"/>
      <c r="M12" s="106"/>
      <c r="N12" s="106"/>
      <c r="O12" s="106"/>
      <c r="P12" s="93">
        <v>-317033</v>
      </c>
      <c r="Q12" s="106"/>
      <c r="R12" s="106"/>
      <c r="S12" s="106"/>
      <c r="T12" s="106"/>
      <c r="U12" s="93">
        <v>-480743</v>
      </c>
      <c r="V12" s="88">
        <v>-140696</v>
      </c>
      <c r="W12" s="88">
        <v>-160964</v>
      </c>
      <c r="X12" s="88">
        <v>-186439</v>
      </c>
      <c r="Y12" s="88">
        <v>-228324</v>
      </c>
      <c r="Z12" s="93">
        <v>-716423</v>
      </c>
      <c r="AA12" s="88">
        <f t="shared" si="0"/>
        <v>-220370</v>
      </c>
      <c r="AB12" s="88">
        <v>-182845</v>
      </c>
      <c r="AC12" s="88">
        <v>-174479</v>
      </c>
      <c r="AD12" s="88">
        <v>-174587</v>
      </c>
      <c r="AE12" s="93">
        <v>-752281</v>
      </c>
      <c r="AF12" s="88">
        <v>-145533</v>
      </c>
      <c r="AG12" s="88">
        <v>-173194</v>
      </c>
      <c r="AH12" s="88">
        <v>-173604</v>
      </c>
      <c r="AI12" s="88">
        <v>-229411</v>
      </c>
      <c r="AJ12" s="93">
        <v>-721742</v>
      </c>
      <c r="AK12" s="88">
        <v>-220566</v>
      </c>
      <c r="AL12" s="88">
        <v>-223080</v>
      </c>
      <c r="AM12" s="88">
        <v>-228463</v>
      </c>
      <c r="AN12" s="88">
        <v>-185500</v>
      </c>
      <c r="AO12" s="93">
        <v>-857609</v>
      </c>
      <c r="AP12" s="88">
        <v>-188470</v>
      </c>
      <c r="AQ12" s="88">
        <v>-147912</v>
      </c>
      <c r="AR12" s="88">
        <v>-363282</v>
      </c>
      <c r="AS12" s="88">
        <v>-699664</v>
      </c>
      <c r="AT12" s="88">
        <v>-323584</v>
      </c>
      <c r="AU12" s="100">
        <v>-323052</v>
      </c>
      <c r="AV12" s="93">
        <v>-1023248</v>
      </c>
      <c r="AW12" s="101">
        <v>-1022716</v>
      </c>
      <c r="AX12" s="88">
        <v>-317965</v>
      </c>
      <c r="AY12" s="88">
        <v>-337365</v>
      </c>
      <c r="AZ12" s="88">
        <v>-357713</v>
      </c>
      <c r="BA12" s="100">
        <v>-357713</v>
      </c>
      <c r="BB12" s="100">
        <v>-1013043</v>
      </c>
      <c r="BC12" s="88">
        <v>-302622</v>
      </c>
      <c r="BD12" s="93">
        <v>-1315665</v>
      </c>
      <c r="BE12" s="372">
        <v>-357746</v>
      </c>
      <c r="BF12" s="88">
        <v>-362166</v>
      </c>
      <c r="BG12" s="88">
        <v>-387374</v>
      </c>
      <c r="BH12" s="88">
        <v>-317977</v>
      </c>
      <c r="BI12" s="88"/>
      <c r="BJ12" s="93">
        <v>-1425263</v>
      </c>
      <c r="BK12" s="93"/>
      <c r="BL12" s="88">
        <v>-188421</v>
      </c>
      <c r="BM12" s="88">
        <v>-169145</v>
      </c>
      <c r="BN12" s="88">
        <v>-100505</v>
      </c>
      <c r="BO12" s="88">
        <v>-179467</v>
      </c>
      <c r="BP12" s="88"/>
      <c r="BQ12" s="88">
        <v>-196476</v>
      </c>
      <c r="BR12" s="93">
        <v>-611564</v>
      </c>
      <c r="BS12" s="88">
        <v>-176260</v>
      </c>
      <c r="BT12" s="88">
        <v>-176338</v>
      </c>
      <c r="BU12" s="88">
        <v>-161851</v>
      </c>
      <c r="BV12" s="232">
        <v>-175107</v>
      </c>
      <c r="BW12" s="473">
        <v>-689556</v>
      </c>
    </row>
    <row r="13" spans="1:75" s="106" customFormat="1" ht="12.75" customHeight="1">
      <c r="A13" s="406" t="s">
        <v>533</v>
      </c>
      <c r="F13" s="106">
        <v>-159444</v>
      </c>
      <c r="K13" s="106">
        <v>-123532</v>
      </c>
      <c r="P13" s="106">
        <v>-141170</v>
      </c>
      <c r="U13" s="106">
        <v>-168193</v>
      </c>
      <c r="V13" s="106">
        <v>-53588</v>
      </c>
      <c r="W13" s="106">
        <v>-55878</v>
      </c>
      <c r="X13" s="106">
        <v>-70651</v>
      </c>
      <c r="Y13" s="106">
        <v>-78730</v>
      </c>
      <c r="Z13" s="106">
        <v>-258847</v>
      </c>
      <c r="AA13" s="106">
        <f t="shared" si="0"/>
        <v>-91139</v>
      </c>
      <c r="AB13" s="106">
        <v>-45974</v>
      </c>
      <c r="AC13" s="106">
        <v>-50173</v>
      </c>
      <c r="AD13" s="106">
        <v>-39975</v>
      </c>
      <c r="AE13" s="106">
        <v>-227261</v>
      </c>
      <c r="AF13" s="106">
        <v>-34306</v>
      </c>
      <c r="AG13" s="106">
        <v>-37046</v>
      </c>
      <c r="AH13" s="106">
        <v>-39889</v>
      </c>
      <c r="AI13" s="106">
        <v>-44761</v>
      </c>
      <c r="AJ13" s="106">
        <v>-156002</v>
      </c>
      <c r="AK13" s="106">
        <v>-48525</v>
      </c>
      <c r="AL13" s="106">
        <v>-56044</v>
      </c>
      <c r="AM13" s="106">
        <v>-46535</v>
      </c>
      <c r="AN13" s="106">
        <v>-40370</v>
      </c>
      <c r="AO13" s="106">
        <v>-191474</v>
      </c>
      <c r="AP13" s="106">
        <v>-46354</v>
      </c>
      <c r="AQ13" s="106">
        <v>-23712</v>
      </c>
      <c r="AR13" s="106">
        <v>-53731</v>
      </c>
      <c r="AS13" s="106">
        <v>-123797</v>
      </c>
      <c r="AT13" s="106">
        <v>-64475</v>
      </c>
      <c r="AU13" s="300">
        <v>-64278</v>
      </c>
      <c r="AV13" s="106">
        <v>-188272</v>
      </c>
      <c r="AW13" s="300">
        <v>-188075</v>
      </c>
      <c r="AX13" s="106">
        <v>-55747</v>
      </c>
      <c r="AY13" s="106">
        <v>-64715</v>
      </c>
      <c r="AZ13" s="106">
        <v>-61845</v>
      </c>
      <c r="BA13" s="300">
        <v>-61845</v>
      </c>
      <c r="BB13" s="300">
        <v>-182307</v>
      </c>
      <c r="BC13" s="106">
        <v>-71548</v>
      </c>
      <c r="BD13" s="106">
        <v>-253855</v>
      </c>
      <c r="BE13" s="378">
        <v>-55747</v>
      </c>
      <c r="BF13" s="106">
        <v>-97636</v>
      </c>
      <c r="BG13" s="106">
        <v>-95710</v>
      </c>
      <c r="BH13" s="106">
        <v>-71547</v>
      </c>
      <c r="BJ13" s="106">
        <v>-253854</v>
      </c>
      <c r="BL13" s="106">
        <v>-106214</v>
      </c>
      <c r="BM13" s="106">
        <v>-101896</v>
      </c>
      <c r="BN13" s="106">
        <v>-101896</v>
      </c>
      <c r="BO13" s="106">
        <v>-85982</v>
      </c>
      <c r="BQ13" s="106">
        <v>-142413</v>
      </c>
      <c r="BR13" s="106">
        <v>-436505</v>
      </c>
      <c r="BS13" s="106">
        <v>-136653</v>
      </c>
      <c r="BT13" s="106">
        <v>-128288</v>
      </c>
      <c r="BU13" s="106">
        <v>-118557</v>
      </c>
      <c r="BV13" s="428">
        <v>-125571</v>
      </c>
      <c r="BW13" s="428">
        <v>-509069</v>
      </c>
    </row>
    <row r="14" spans="1:75" s="106" customFormat="1" ht="12.75" customHeight="1">
      <c r="A14" s="406" t="s">
        <v>534</v>
      </c>
      <c r="F14" s="106">
        <v>-209476</v>
      </c>
      <c r="K14" s="106">
        <v>-75280</v>
      </c>
      <c r="P14" s="106">
        <v>-117743</v>
      </c>
      <c r="U14" s="106">
        <v>-164352</v>
      </c>
      <c r="V14" s="106">
        <v>-51767</v>
      </c>
      <c r="W14" s="106">
        <v>-61056</v>
      </c>
      <c r="X14" s="106">
        <v>-71837</v>
      </c>
      <c r="Y14" s="106">
        <v>-82802</v>
      </c>
      <c r="Z14" s="106">
        <v>-267462</v>
      </c>
      <c r="AA14" s="106">
        <f t="shared" si="0"/>
        <v>-82210</v>
      </c>
      <c r="AB14" s="106">
        <v>-90328</v>
      </c>
      <c r="AC14" s="106">
        <v>-78247</v>
      </c>
      <c r="AD14" s="106">
        <v>-73606</v>
      </c>
      <c r="AE14" s="106">
        <v>-324391</v>
      </c>
      <c r="AF14" s="106">
        <v>-75768</v>
      </c>
      <c r="AG14" s="106">
        <v>-89307</v>
      </c>
      <c r="AH14" s="106">
        <v>-87789</v>
      </c>
      <c r="AI14" s="106">
        <v>-105260</v>
      </c>
      <c r="AJ14" s="106">
        <v>-358124</v>
      </c>
      <c r="AK14" s="106">
        <v>-112598</v>
      </c>
      <c r="AL14" s="106">
        <v>-97592</v>
      </c>
      <c r="AM14" s="106">
        <v>-101230</v>
      </c>
      <c r="AN14" s="106">
        <v>-65680</v>
      </c>
      <c r="AO14" s="106">
        <v>-377100</v>
      </c>
      <c r="AP14" s="106">
        <v>-70463</v>
      </c>
      <c r="AQ14" s="106">
        <v>-61253</v>
      </c>
      <c r="AR14" s="106">
        <v>-91881</v>
      </c>
      <c r="AS14" s="106">
        <v>-223597</v>
      </c>
      <c r="AT14" s="106">
        <v>-100789</v>
      </c>
      <c r="AU14" s="300">
        <v>-100792</v>
      </c>
      <c r="AV14" s="106">
        <v>-324386</v>
      </c>
      <c r="AW14" s="300">
        <v>-324389</v>
      </c>
      <c r="AX14" s="106">
        <v>-114182</v>
      </c>
      <c r="AY14" s="106">
        <v>-111795</v>
      </c>
      <c r="AZ14" s="106">
        <v>-127739</v>
      </c>
      <c r="BA14" s="300">
        <v>-127739</v>
      </c>
      <c r="BB14" s="300">
        <v>-353716</v>
      </c>
      <c r="BC14" s="106">
        <v>-122172</v>
      </c>
      <c r="BD14" s="106">
        <v>-475888</v>
      </c>
      <c r="BE14" s="378">
        <v>-147835</v>
      </c>
      <c r="BF14" s="106">
        <v>-141851</v>
      </c>
      <c r="BG14" s="106">
        <v>-161012</v>
      </c>
      <c r="BH14" s="106">
        <v>-140493</v>
      </c>
      <c r="BJ14" s="106">
        <v>-591191</v>
      </c>
      <c r="BL14" s="106">
        <v>-10023</v>
      </c>
      <c r="BM14" s="106">
        <v>-65407</v>
      </c>
      <c r="BN14" s="106">
        <v>3233</v>
      </c>
      <c r="BO14" s="106">
        <v>-58249</v>
      </c>
      <c r="BQ14" s="106">
        <v>-4812</v>
      </c>
      <c r="BR14" s="106">
        <v>-16546</v>
      </c>
      <c r="BS14" s="106">
        <v>-4566</v>
      </c>
      <c r="BT14" s="106">
        <v>-4390</v>
      </c>
      <c r="BU14" s="106">
        <v>-4247</v>
      </c>
      <c r="BV14" s="428">
        <v>-4987</v>
      </c>
      <c r="BW14" s="428">
        <v>-18190</v>
      </c>
    </row>
    <row r="15" spans="1:75" s="106" customFormat="1" ht="12.75" customHeight="1">
      <c r="A15" s="406" t="s">
        <v>535</v>
      </c>
      <c r="F15" s="106">
        <v>-24869</v>
      </c>
      <c r="K15" s="106">
        <v>-17997</v>
      </c>
      <c r="P15" s="106">
        <v>-8942</v>
      </c>
      <c r="U15" s="106">
        <v>-10935</v>
      </c>
      <c r="V15" s="106">
        <v>-4143</v>
      </c>
      <c r="W15" s="106">
        <v>-5028</v>
      </c>
      <c r="X15" s="106">
        <v>-4754</v>
      </c>
      <c r="Y15" s="106">
        <v>-6505</v>
      </c>
      <c r="Z15" s="106">
        <v>-20430</v>
      </c>
      <c r="AA15" s="106">
        <f t="shared" si="0"/>
        <v>-7786</v>
      </c>
      <c r="AB15" s="106">
        <v>-363</v>
      </c>
      <c r="AC15" s="106">
        <v>-27</v>
      </c>
      <c r="AD15" s="106">
        <v>-85</v>
      </c>
      <c r="AE15" s="106">
        <v>-8261</v>
      </c>
      <c r="AF15" s="106">
        <v>-85</v>
      </c>
      <c r="AG15" s="106">
        <v>-42</v>
      </c>
      <c r="AH15" s="106">
        <v>-36</v>
      </c>
      <c r="AI15" s="106">
        <v>-12287</v>
      </c>
      <c r="AJ15" s="106">
        <v>-12450</v>
      </c>
      <c r="AK15" s="106">
        <v>-8692</v>
      </c>
      <c r="AL15" s="106">
        <v>-8497</v>
      </c>
      <c r="AM15" s="106">
        <v>-17223</v>
      </c>
      <c r="AN15" s="106">
        <v>-18986</v>
      </c>
      <c r="AO15" s="106">
        <v>-53398</v>
      </c>
      <c r="AP15" s="106">
        <v>-18465</v>
      </c>
      <c r="AQ15" s="106">
        <v>-12842</v>
      </c>
      <c r="AR15" s="106">
        <v>-161377</v>
      </c>
      <c r="AS15" s="106">
        <v>-192684</v>
      </c>
      <c r="AT15" s="106">
        <v>-84822</v>
      </c>
      <c r="AU15" s="300">
        <v>-84906</v>
      </c>
      <c r="AV15" s="106">
        <v>-277506</v>
      </c>
      <c r="AW15" s="300">
        <v>-277590</v>
      </c>
      <c r="AX15" s="106">
        <v>-93360</v>
      </c>
      <c r="AY15" s="106">
        <v>-89108</v>
      </c>
      <c r="AZ15" s="106">
        <v>-100012</v>
      </c>
      <c r="BA15" s="300">
        <v>-100012</v>
      </c>
      <c r="BB15" s="300">
        <v>-282480</v>
      </c>
      <c r="BC15" s="106">
        <v>-44463</v>
      </c>
      <c r="BD15" s="106">
        <v>-326943</v>
      </c>
      <c r="BE15" s="378">
        <v>-131745</v>
      </c>
      <c r="BF15" s="106">
        <v>-82537</v>
      </c>
      <c r="BG15" s="106">
        <v>-96757</v>
      </c>
      <c r="BH15" s="106">
        <v>-71063</v>
      </c>
      <c r="BJ15" s="106">
        <v>-448887</v>
      </c>
      <c r="BL15" s="106">
        <v>-43220</v>
      </c>
      <c r="BM15" s="106">
        <v>25483</v>
      </c>
      <c r="BN15" s="106">
        <v>25483</v>
      </c>
      <c r="BO15" s="106">
        <v>-6435</v>
      </c>
      <c r="BQ15" s="106">
        <v>-8297</v>
      </c>
      <c r="BR15" s="106">
        <v>-32469</v>
      </c>
      <c r="BS15" s="106">
        <v>-13588</v>
      </c>
      <c r="BT15" s="106">
        <v>-9322</v>
      </c>
      <c r="BU15" s="106">
        <v>-7975</v>
      </c>
      <c r="BV15" s="428">
        <v>-9532</v>
      </c>
      <c r="BW15" s="428">
        <v>-40417</v>
      </c>
    </row>
    <row r="16" spans="1:75" s="106" customFormat="1" ht="12.75" customHeight="1" hidden="1">
      <c r="A16" s="406" t="s">
        <v>201</v>
      </c>
      <c r="F16" s="106">
        <v>-58795</v>
      </c>
      <c r="K16" s="106">
        <v>-12308</v>
      </c>
      <c r="P16" s="106">
        <v>-28062</v>
      </c>
      <c r="U16" s="106">
        <v>-48770</v>
      </c>
      <c r="V16" s="106">
        <v>-17183</v>
      </c>
      <c r="W16" s="106">
        <v>-19701</v>
      </c>
      <c r="X16" s="106">
        <v>-19741</v>
      </c>
      <c r="Y16" s="106">
        <v>-23111</v>
      </c>
      <c r="Z16" s="106">
        <v>-79736</v>
      </c>
      <c r="AA16" s="106">
        <f t="shared" si="0"/>
        <v>-23527</v>
      </c>
      <c r="AB16" s="106">
        <v>-24601</v>
      </c>
      <c r="AC16" s="106">
        <v>-24190</v>
      </c>
      <c r="AD16" s="106">
        <v>-23074</v>
      </c>
      <c r="AE16" s="106">
        <v>-95392</v>
      </c>
      <c r="AF16" s="106">
        <v>-21932</v>
      </c>
      <c r="AG16" s="106">
        <v>-26492</v>
      </c>
      <c r="AH16" s="106">
        <v>-24751</v>
      </c>
      <c r="AI16" s="106">
        <v>-26260</v>
      </c>
      <c r="AJ16" s="106">
        <v>-99435</v>
      </c>
      <c r="AK16" s="106">
        <v>-31610</v>
      </c>
      <c r="AL16" s="106">
        <v>-26067</v>
      </c>
      <c r="AM16" s="106">
        <v>-27369</v>
      </c>
      <c r="AN16" s="106">
        <v>-19320</v>
      </c>
      <c r="AO16" s="106">
        <v>-104366</v>
      </c>
      <c r="AP16" s="106">
        <v>-21053</v>
      </c>
      <c r="AQ16" s="106">
        <v>-19897</v>
      </c>
      <c r="AR16" s="106">
        <v>-28871</v>
      </c>
      <c r="AS16" s="106">
        <v>-69821</v>
      </c>
      <c r="AT16" s="106">
        <v>-29331</v>
      </c>
      <c r="AU16" s="300">
        <v>-29331</v>
      </c>
      <c r="AV16" s="106">
        <v>-99152</v>
      </c>
      <c r="AW16" s="300">
        <v>-99152</v>
      </c>
      <c r="AX16" s="106">
        <v>-32257</v>
      </c>
      <c r="AY16" s="106">
        <v>-20376</v>
      </c>
      <c r="AZ16" s="106">
        <v>-45450</v>
      </c>
      <c r="BA16" s="300">
        <v>-45450</v>
      </c>
      <c r="BB16" s="300">
        <v>-98083</v>
      </c>
      <c r="BC16" s="106">
        <v>-30471</v>
      </c>
      <c r="BD16" s="106">
        <v>-128554</v>
      </c>
      <c r="BE16" s="378">
        <v>0</v>
      </c>
      <c r="BF16" s="106">
        <v>0</v>
      </c>
      <c r="BG16" s="106">
        <v>0</v>
      </c>
      <c r="BH16" s="106">
        <v>0</v>
      </c>
      <c r="BJ16" s="106">
        <v>0</v>
      </c>
      <c r="BM16" s="106">
        <v>0</v>
      </c>
      <c r="BO16" s="106">
        <v>0</v>
      </c>
      <c r="BU16" s="106">
        <v>0</v>
      </c>
      <c r="BV16" s="428">
        <v>0</v>
      </c>
      <c r="BW16" s="428">
        <v>0</v>
      </c>
    </row>
    <row r="17" spans="1:75" s="106" customFormat="1" ht="12.75" customHeight="1">
      <c r="A17" s="406" t="s">
        <v>202</v>
      </c>
      <c r="F17" s="106">
        <v>-14344</v>
      </c>
      <c r="K17" s="106">
        <v>-15596</v>
      </c>
      <c r="P17" s="106">
        <v>-21116</v>
      </c>
      <c r="U17" s="106">
        <v>-88493</v>
      </c>
      <c r="V17" s="106">
        <v>-14015</v>
      </c>
      <c r="W17" s="106">
        <v>-19301</v>
      </c>
      <c r="X17" s="106">
        <v>-19456</v>
      </c>
      <c r="Y17" s="106">
        <v>-37176</v>
      </c>
      <c r="Z17" s="106">
        <v>-89948</v>
      </c>
      <c r="AA17" s="106">
        <f t="shared" si="0"/>
        <v>-15708</v>
      </c>
      <c r="AB17" s="106">
        <v>-21579</v>
      </c>
      <c r="AC17" s="106">
        <v>-21842</v>
      </c>
      <c r="AD17" s="106">
        <v>-37847</v>
      </c>
      <c r="AE17" s="106">
        <v>-96976</v>
      </c>
      <c r="AF17" s="106">
        <v>-13442</v>
      </c>
      <c r="AG17" s="106">
        <v>-20307</v>
      </c>
      <c r="AH17" s="106">
        <v>-21139</v>
      </c>
      <c r="AI17" s="106">
        <v>-40843</v>
      </c>
      <c r="AJ17" s="106">
        <v>-95731</v>
      </c>
      <c r="AK17" s="106">
        <v>-19141</v>
      </c>
      <c r="AL17" s="106">
        <v>-34880</v>
      </c>
      <c r="AM17" s="106">
        <v>-36106</v>
      </c>
      <c r="AN17" s="106">
        <v>-41144</v>
      </c>
      <c r="AO17" s="106">
        <v>-131271</v>
      </c>
      <c r="AP17" s="106">
        <v>-32135</v>
      </c>
      <c r="AQ17" s="106">
        <v>-30208</v>
      </c>
      <c r="AR17" s="106">
        <v>-27422</v>
      </c>
      <c r="AS17" s="106">
        <v>-89765</v>
      </c>
      <c r="AT17" s="106">
        <v>-44167</v>
      </c>
      <c r="AU17" s="300">
        <v>-43745</v>
      </c>
      <c r="AV17" s="106">
        <v>-133932</v>
      </c>
      <c r="AW17" s="300">
        <v>-133510</v>
      </c>
      <c r="AX17" s="106">
        <v>-22419</v>
      </c>
      <c r="AY17" s="106">
        <v>-51371</v>
      </c>
      <c r="AZ17" s="106">
        <v>-22667</v>
      </c>
      <c r="BA17" s="300">
        <v>-22667</v>
      </c>
      <c r="BB17" s="300">
        <v>-96457</v>
      </c>
      <c r="BC17" s="106">
        <v>-33968</v>
      </c>
      <c r="BD17" s="106">
        <v>-130425</v>
      </c>
      <c r="BE17" s="378">
        <v>-22419</v>
      </c>
      <c r="BF17" s="106">
        <v>-40142</v>
      </c>
      <c r="BG17" s="106">
        <v>-33895</v>
      </c>
      <c r="BH17" s="106">
        <v>-34874</v>
      </c>
      <c r="BJ17" s="106">
        <v>-131331</v>
      </c>
      <c r="BL17" s="106">
        <v>-28964</v>
      </c>
      <c r="BM17" s="106">
        <v>-27325</v>
      </c>
      <c r="BN17" s="106">
        <v>-27325</v>
      </c>
      <c r="BO17" s="106">
        <v>-28801</v>
      </c>
      <c r="BQ17" s="106">
        <v>-40954</v>
      </c>
      <c r="BR17" s="106">
        <v>-126044</v>
      </c>
      <c r="BS17" s="106">
        <v>-21453</v>
      </c>
      <c r="BT17" s="106">
        <v>-34338</v>
      </c>
      <c r="BU17" s="106">
        <v>-31072</v>
      </c>
      <c r="BV17" s="428">
        <v>-35017</v>
      </c>
      <c r="BW17" s="428">
        <v>-121880</v>
      </c>
    </row>
    <row r="18" spans="1:75" s="106" customFormat="1" ht="12.75" customHeight="1" hidden="1">
      <c r="A18" s="409" t="s">
        <v>203</v>
      </c>
      <c r="F18" s="108">
        <v>1174769</v>
      </c>
      <c r="K18" s="108">
        <v>1159657</v>
      </c>
      <c r="P18" s="108">
        <v>1504038</v>
      </c>
      <c r="U18" s="108">
        <v>1955830</v>
      </c>
      <c r="V18" s="108">
        <v>571229</v>
      </c>
      <c r="W18" s="108">
        <v>545054</v>
      </c>
      <c r="X18" s="108">
        <v>585759</v>
      </c>
      <c r="Y18" s="108">
        <v>753122</v>
      </c>
      <c r="Z18" s="108">
        <v>2455164</v>
      </c>
      <c r="AA18" s="108">
        <f t="shared" si="0"/>
        <v>798669</v>
      </c>
      <c r="AB18" s="108">
        <v>702169</v>
      </c>
      <c r="AC18" s="108">
        <v>762307</v>
      </c>
      <c r="AD18" s="108">
        <v>627916</v>
      </c>
      <c r="AE18" s="108">
        <v>2891061</v>
      </c>
      <c r="AF18" s="108">
        <v>515836</v>
      </c>
      <c r="AG18" s="108">
        <v>606556</v>
      </c>
      <c r="AH18" s="108">
        <v>685133</v>
      </c>
      <c r="AI18" s="108">
        <v>786426</v>
      </c>
      <c r="AJ18" s="108">
        <v>2593951</v>
      </c>
      <c r="AK18" s="108">
        <v>786128</v>
      </c>
      <c r="AL18" s="108">
        <v>920467</v>
      </c>
      <c r="AM18" s="108">
        <v>976459</v>
      </c>
      <c r="AN18" s="108">
        <v>852030</v>
      </c>
      <c r="AO18" s="108">
        <v>3535084</v>
      </c>
      <c r="AP18" s="108">
        <v>632575</v>
      </c>
      <c r="AQ18" s="108">
        <v>698573</v>
      </c>
      <c r="AR18" s="108">
        <v>921994</v>
      </c>
      <c r="AS18" s="108"/>
      <c r="AT18" s="108">
        <v>980303</v>
      </c>
      <c r="AU18" s="308"/>
      <c r="AV18" s="108">
        <v>3233445</v>
      </c>
      <c r="AW18" s="308"/>
      <c r="AX18" s="108">
        <v>866224</v>
      </c>
      <c r="AY18" s="108">
        <v>1048407</v>
      </c>
      <c r="AZ18" s="108">
        <v>1181934</v>
      </c>
      <c r="BA18" s="308"/>
      <c r="BB18" s="308"/>
      <c r="BC18" s="108"/>
      <c r="BD18" s="108"/>
      <c r="BE18" s="386"/>
      <c r="BF18" s="108"/>
      <c r="BG18" s="108"/>
      <c r="BH18" s="108"/>
      <c r="BI18" s="108"/>
      <c r="BJ18" s="108"/>
      <c r="BK18" s="108"/>
      <c r="BL18" s="108"/>
      <c r="BM18" s="108"/>
      <c r="BN18" s="108">
        <v>1298639.9</v>
      </c>
      <c r="BO18" s="108"/>
      <c r="BP18" s="108"/>
      <c r="BQ18" s="108"/>
      <c r="BR18" s="108"/>
      <c r="BS18" s="108"/>
      <c r="BT18" s="108"/>
      <c r="BU18" s="108"/>
      <c r="BV18" s="108"/>
      <c r="BW18" s="108"/>
    </row>
    <row r="19" spans="1:75" s="106" customFormat="1" ht="12.75" customHeight="1" hidden="1">
      <c r="A19" s="406" t="s">
        <v>437</v>
      </c>
      <c r="F19" s="108"/>
      <c r="K19" s="108"/>
      <c r="P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6">
        <v>29111</v>
      </c>
      <c r="AT19" s="108">
        <v>18890</v>
      </c>
      <c r="AU19" s="308"/>
      <c r="AV19" s="108">
        <v>28999</v>
      </c>
      <c r="AW19" s="308"/>
      <c r="AX19" s="108">
        <v>9916</v>
      </c>
      <c r="AY19" s="108">
        <v>5440</v>
      </c>
      <c r="AZ19" s="108">
        <v>7919</v>
      </c>
      <c r="BA19" s="308"/>
      <c r="BB19" s="308"/>
      <c r="BC19" s="108"/>
      <c r="BD19" s="108"/>
      <c r="BE19" s="386"/>
      <c r="BF19" s="108"/>
      <c r="BG19" s="108"/>
      <c r="BH19" s="108"/>
      <c r="BI19" s="108"/>
      <c r="BJ19" s="108"/>
      <c r="BK19" s="108"/>
      <c r="BL19" s="108"/>
      <c r="BM19" s="108"/>
      <c r="BN19" s="108">
        <v>-27325</v>
      </c>
      <c r="BO19" s="108"/>
      <c r="BP19" s="108"/>
      <c r="BQ19" s="108"/>
      <c r="BR19" s="108"/>
      <c r="BS19" s="108"/>
      <c r="BT19" s="108"/>
      <c r="BU19" s="108"/>
      <c r="BV19" s="108"/>
      <c r="BW19" s="108"/>
    </row>
    <row r="20" spans="1:75" ht="12.75" customHeight="1">
      <c r="A20" s="104" t="s">
        <v>203</v>
      </c>
      <c r="B20" s="106"/>
      <c r="C20" s="106"/>
      <c r="D20" s="106"/>
      <c r="E20" s="106"/>
      <c r="F20" s="97">
        <v>1174769</v>
      </c>
      <c r="G20" s="106"/>
      <c r="H20" s="106"/>
      <c r="I20" s="106"/>
      <c r="J20" s="106"/>
      <c r="K20" s="97">
        <v>1159657</v>
      </c>
      <c r="L20" s="106"/>
      <c r="M20" s="106"/>
      <c r="N20" s="106"/>
      <c r="O20" s="106"/>
      <c r="P20" s="97">
        <v>1504038</v>
      </c>
      <c r="Q20" s="106"/>
      <c r="R20" s="106"/>
      <c r="S20" s="106"/>
      <c r="T20" s="106"/>
      <c r="U20" s="97">
        <v>1955830</v>
      </c>
      <c r="V20" s="96">
        <v>571229</v>
      </c>
      <c r="W20" s="96">
        <v>545054</v>
      </c>
      <c r="X20" s="96">
        <v>585759</v>
      </c>
      <c r="Y20" s="96">
        <v>753122</v>
      </c>
      <c r="Z20" s="97">
        <v>2455164</v>
      </c>
      <c r="AA20" s="96">
        <f>AE20-AD20-AC20-AB20</f>
        <v>798669</v>
      </c>
      <c r="AB20" s="96">
        <v>702169</v>
      </c>
      <c r="AC20" s="96">
        <v>762307</v>
      </c>
      <c r="AD20" s="96">
        <v>627916</v>
      </c>
      <c r="AE20" s="97">
        <v>2891061</v>
      </c>
      <c r="AF20" s="96">
        <v>515836</v>
      </c>
      <c r="AG20" s="96">
        <v>606556</v>
      </c>
      <c r="AH20" s="96">
        <v>685133</v>
      </c>
      <c r="AI20" s="96">
        <v>786426</v>
      </c>
      <c r="AJ20" s="97">
        <v>2593951</v>
      </c>
      <c r="AK20" s="96">
        <v>786128</v>
      </c>
      <c r="AL20" s="96">
        <v>920467</v>
      </c>
      <c r="AM20" s="96">
        <v>976459</v>
      </c>
      <c r="AN20" s="96">
        <v>852030</v>
      </c>
      <c r="AO20" s="97">
        <v>3535084</v>
      </c>
      <c r="AP20" s="96">
        <v>632575</v>
      </c>
      <c r="AQ20" s="96">
        <v>698573</v>
      </c>
      <c r="AR20" s="96">
        <v>951105</v>
      </c>
      <c r="AS20" s="96">
        <v>2263251</v>
      </c>
      <c r="AT20" s="96">
        <v>999193</v>
      </c>
      <c r="AU20" s="294">
        <v>991449</v>
      </c>
      <c r="AV20" s="97">
        <v>3262444</v>
      </c>
      <c r="AW20" s="291">
        <v>3254700</v>
      </c>
      <c r="AX20" s="96">
        <v>876140</v>
      </c>
      <c r="AY20" s="96">
        <v>1053847</v>
      </c>
      <c r="AZ20" s="96">
        <v>1189853</v>
      </c>
      <c r="BA20" s="294">
        <v>1189853</v>
      </c>
      <c r="BB20" s="294">
        <v>3119840</v>
      </c>
      <c r="BC20" s="96">
        <v>1177131</v>
      </c>
      <c r="BD20" s="97">
        <v>4296971</v>
      </c>
      <c r="BE20" s="373">
        <v>876140</v>
      </c>
      <c r="BF20" s="96">
        <v>1053847</v>
      </c>
      <c r="BG20" s="96">
        <v>1189853</v>
      </c>
      <c r="BH20" s="96">
        <v>1178869</v>
      </c>
      <c r="BI20" s="96"/>
      <c r="BJ20" s="97">
        <v>4298709</v>
      </c>
      <c r="BK20" s="97"/>
      <c r="BL20" s="96">
        <v>1177493.1</v>
      </c>
      <c r="BM20" s="96">
        <v>1298386</v>
      </c>
      <c r="BN20" s="96">
        <v>1298639.9</v>
      </c>
      <c r="BO20" s="96">
        <v>1377670</v>
      </c>
      <c r="BP20" s="96"/>
      <c r="BQ20" s="96">
        <v>1489230</v>
      </c>
      <c r="BR20" s="97">
        <v>5343234</v>
      </c>
      <c r="BS20" s="96">
        <v>1348310</v>
      </c>
      <c r="BT20" s="96">
        <v>1319131</v>
      </c>
      <c r="BU20" s="96">
        <v>1432110</v>
      </c>
      <c r="BV20" s="96">
        <f>BV11+BV12</f>
        <v>1427519</v>
      </c>
      <c r="BW20" s="97">
        <f>BW11+BW12</f>
        <v>5527070</v>
      </c>
    </row>
    <row r="21" spans="1:74" ht="12.75" customHeight="1">
      <c r="A21" s="131"/>
      <c r="F21" s="116"/>
      <c r="K21" s="116"/>
      <c r="P21" s="116"/>
      <c r="U21" s="116"/>
      <c r="V21" s="116"/>
      <c r="W21" s="116"/>
      <c r="X21" s="116"/>
      <c r="Y21" s="116"/>
      <c r="Z21" s="116"/>
      <c r="AA21" s="116"/>
      <c r="AB21" s="116"/>
      <c r="AC21" s="116"/>
      <c r="AD21" s="116"/>
      <c r="AE21" s="116"/>
      <c r="AF21" s="116"/>
      <c r="AG21" s="116"/>
      <c r="AH21" s="116"/>
      <c r="AI21" s="116"/>
      <c r="AJ21" s="116"/>
      <c r="AK21" s="116"/>
      <c r="AL21" s="116"/>
      <c r="AP21" s="116"/>
      <c r="AQ21" s="116"/>
      <c r="AX21" s="116"/>
      <c r="AY21" s="116"/>
      <c r="AZ21" s="116"/>
      <c r="BA21" s="302"/>
      <c r="BB21" s="302"/>
      <c r="BC21" s="116"/>
      <c r="BE21" s="381"/>
      <c r="BF21" s="116"/>
      <c r="BG21" s="116"/>
      <c r="BH21" s="116"/>
      <c r="BI21" s="116"/>
      <c r="BL21" s="116"/>
      <c r="BM21" s="116"/>
      <c r="BN21" s="116"/>
      <c r="BO21" s="116"/>
      <c r="BP21" s="116"/>
      <c r="BQ21" s="116"/>
      <c r="BS21" s="116"/>
      <c r="BT21" s="116"/>
      <c r="BU21" s="116"/>
      <c r="BV21" s="116"/>
    </row>
    <row r="22" ht="12.75"/>
    <row r="23" spans="1:75" ht="12.75">
      <c r="A23" s="89" t="s">
        <v>529</v>
      </c>
      <c r="B23" s="90" t="s">
        <v>2</v>
      </c>
      <c r="C23" s="90" t="s">
        <v>3</v>
      </c>
      <c r="D23" s="90" t="s">
        <v>4</v>
      </c>
      <c r="E23" s="90" t="s">
        <v>5</v>
      </c>
      <c r="F23" s="90" t="s">
        <v>6</v>
      </c>
      <c r="G23" s="90" t="s">
        <v>12</v>
      </c>
      <c r="H23" s="90" t="s">
        <v>13</v>
      </c>
      <c r="I23" s="90" t="s">
        <v>14</v>
      </c>
      <c r="J23" s="90" t="s">
        <v>15</v>
      </c>
      <c r="K23" s="90" t="s">
        <v>16</v>
      </c>
      <c r="L23" s="90" t="s">
        <v>17</v>
      </c>
      <c r="M23" s="90" t="s">
        <v>18</v>
      </c>
      <c r="N23" s="90" t="s">
        <v>19</v>
      </c>
      <c r="O23" s="90" t="s">
        <v>20</v>
      </c>
      <c r="P23" s="90" t="s">
        <v>21</v>
      </c>
      <c r="Q23" s="90" t="s">
        <v>22</v>
      </c>
      <c r="R23" s="90" t="s">
        <v>23</v>
      </c>
      <c r="S23" s="90" t="s">
        <v>24</v>
      </c>
      <c r="T23" s="90" t="s">
        <v>25</v>
      </c>
      <c r="U23" s="90" t="s">
        <v>26</v>
      </c>
      <c r="V23" s="90"/>
      <c r="W23" s="90"/>
      <c r="X23" s="90"/>
      <c r="Y23" s="90"/>
      <c r="Z23" s="90"/>
      <c r="AA23" s="90"/>
      <c r="AB23" s="90"/>
      <c r="AC23" s="90"/>
      <c r="AD23" s="90"/>
      <c r="AE23" s="90"/>
      <c r="AF23" s="90"/>
      <c r="AG23" s="90"/>
      <c r="AH23" s="90"/>
      <c r="AI23" s="120"/>
      <c r="AJ23" s="120"/>
      <c r="AK23" s="120"/>
      <c r="AL23" s="120"/>
      <c r="AM23" s="120"/>
      <c r="AN23" s="120"/>
      <c r="AO23" s="120"/>
      <c r="AP23" s="120"/>
      <c r="AQ23" s="120"/>
      <c r="AR23" s="120"/>
      <c r="AS23" s="289"/>
      <c r="AT23" s="120"/>
      <c r="AU23" s="289"/>
      <c r="AV23" s="120"/>
      <c r="AW23" s="289"/>
      <c r="AX23" s="120"/>
      <c r="AY23" s="120"/>
      <c r="AZ23" s="120"/>
      <c r="BA23" s="289"/>
      <c r="BB23" s="289"/>
      <c r="BC23" s="120"/>
      <c r="BD23" s="120"/>
      <c r="BE23" s="342"/>
      <c r="BF23" s="7"/>
      <c r="BG23" s="7"/>
      <c r="BH23" s="7"/>
      <c r="BI23" s="7"/>
      <c r="BJ23" s="90"/>
      <c r="BK23" s="90"/>
      <c r="BL23" s="7"/>
      <c r="BM23" s="7"/>
      <c r="BN23" s="7"/>
      <c r="BO23" s="7"/>
      <c r="BP23" s="7"/>
      <c r="BQ23" s="7"/>
      <c r="BR23" s="90"/>
      <c r="BS23" s="7"/>
      <c r="BT23" s="7"/>
      <c r="BU23" s="7"/>
      <c r="BV23" s="7"/>
      <c r="BW23" s="90"/>
    </row>
    <row r="24" spans="1:75" ht="12.75">
      <c r="A24" s="125" t="s">
        <v>524</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3"/>
      <c r="AJ24" s="123"/>
      <c r="AK24" s="123"/>
      <c r="AL24" s="123"/>
      <c r="AM24" s="123"/>
      <c r="AN24" s="123"/>
      <c r="AO24" s="123"/>
      <c r="AP24" s="123"/>
      <c r="AQ24" s="123"/>
      <c r="AR24" s="123"/>
      <c r="AS24" s="123"/>
      <c r="AT24" s="123"/>
      <c r="AU24" s="301"/>
      <c r="AV24" s="123"/>
      <c r="AW24" s="301"/>
      <c r="AX24" s="123"/>
      <c r="AY24" s="123"/>
      <c r="AZ24" s="123"/>
      <c r="BA24" s="301"/>
      <c r="BB24" s="301"/>
      <c r="BC24" s="123"/>
      <c r="BD24" s="123"/>
      <c r="BE24" s="379"/>
      <c r="BF24" s="123"/>
      <c r="BG24" s="123"/>
      <c r="BH24" s="123"/>
      <c r="BI24" s="123"/>
      <c r="BJ24" s="123"/>
      <c r="BK24" s="123"/>
      <c r="BL24" s="123"/>
      <c r="BM24" s="123"/>
      <c r="BN24" s="123"/>
      <c r="BO24" s="123"/>
      <c r="BP24" s="123"/>
      <c r="BQ24" s="123"/>
      <c r="BR24" s="123"/>
      <c r="BS24" s="123"/>
      <c r="BT24" s="123"/>
      <c r="BU24" s="123"/>
      <c r="BV24" s="123"/>
      <c r="BW24" s="123"/>
    </row>
    <row r="25" spans="1:75" ht="12.75">
      <c r="A25" s="124" t="s">
        <v>192</v>
      </c>
      <c r="B25" s="88">
        <v>2166</v>
      </c>
      <c r="C25" s="88">
        <v>1552</v>
      </c>
      <c r="D25" s="88">
        <v>969</v>
      </c>
      <c r="E25" s="88">
        <v>1482</v>
      </c>
      <c r="F25" s="93">
        <v>6169</v>
      </c>
      <c r="G25" s="88">
        <v>936</v>
      </c>
      <c r="H25" s="88">
        <v>1793</v>
      </c>
      <c r="I25" s="88">
        <v>392</v>
      </c>
      <c r="J25" s="88">
        <v>1365</v>
      </c>
      <c r="K25" s="93">
        <v>4486</v>
      </c>
      <c r="L25" s="88">
        <v>273</v>
      </c>
      <c r="M25" s="88">
        <v>6763</v>
      </c>
      <c r="N25" s="88">
        <v>-5426</v>
      </c>
      <c r="O25" s="88">
        <v>8677</v>
      </c>
      <c r="P25" s="93">
        <v>10287</v>
      </c>
      <c r="Q25" s="88">
        <v>6136</v>
      </c>
      <c r="R25" s="88">
        <v>9318</v>
      </c>
      <c r="S25" s="88">
        <v>12750</v>
      </c>
      <c r="T25" s="88">
        <v>12124</v>
      </c>
      <c r="U25" s="93">
        <v>40328</v>
      </c>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300"/>
      <c r="AV25" s="106"/>
      <c r="AW25" s="300"/>
      <c r="AX25" s="106"/>
      <c r="AY25" s="106"/>
      <c r="AZ25" s="106"/>
      <c r="BA25" s="300"/>
      <c r="BB25" s="300"/>
      <c r="BC25" s="106"/>
      <c r="BD25" s="106"/>
      <c r="BE25" s="378"/>
      <c r="BF25" s="106"/>
      <c r="BG25" s="106"/>
      <c r="BH25" s="106"/>
      <c r="BI25" s="106"/>
      <c r="BJ25" s="106"/>
      <c r="BK25" s="106"/>
      <c r="BL25" s="106"/>
      <c r="BM25" s="106"/>
      <c r="BN25" s="106"/>
      <c r="BO25" s="106"/>
      <c r="BP25" s="106"/>
      <c r="BQ25" s="106"/>
      <c r="BR25" s="106"/>
      <c r="BS25" s="106"/>
      <c r="BT25" s="106"/>
      <c r="BU25" s="106"/>
      <c r="BV25" s="106"/>
      <c r="BW25" s="106"/>
    </row>
    <row r="26" spans="1:75" ht="12.75">
      <c r="A26" s="124" t="s">
        <v>193</v>
      </c>
      <c r="B26" s="88">
        <v>149488</v>
      </c>
      <c r="C26" s="88">
        <v>168930</v>
      </c>
      <c r="D26" s="88">
        <v>198713</v>
      </c>
      <c r="E26" s="88">
        <v>154180</v>
      </c>
      <c r="F26" s="93">
        <v>671311</v>
      </c>
      <c r="G26" s="88">
        <v>134234</v>
      </c>
      <c r="H26" s="88">
        <v>185447</v>
      </c>
      <c r="I26" s="88">
        <v>168434</v>
      </c>
      <c r="J26" s="88">
        <v>164771</v>
      </c>
      <c r="K26" s="93">
        <v>652886</v>
      </c>
      <c r="L26" s="88">
        <v>152763</v>
      </c>
      <c r="M26" s="88">
        <v>230827</v>
      </c>
      <c r="N26" s="88">
        <v>254833</v>
      </c>
      <c r="O26" s="88">
        <v>252216</v>
      </c>
      <c r="P26" s="93">
        <v>890639</v>
      </c>
      <c r="Q26" s="88">
        <v>217016</v>
      </c>
      <c r="R26" s="88">
        <v>270410</v>
      </c>
      <c r="S26" s="88">
        <v>328188</v>
      </c>
      <c r="T26" s="88">
        <v>367492</v>
      </c>
      <c r="U26" s="93">
        <v>1183106</v>
      </c>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300"/>
      <c r="AV26" s="106"/>
      <c r="AW26" s="300"/>
      <c r="AX26" s="106"/>
      <c r="AY26" s="106"/>
      <c r="AZ26" s="106"/>
      <c r="BA26" s="300"/>
      <c r="BB26" s="300"/>
      <c r="BC26" s="106"/>
      <c r="BD26" s="106"/>
      <c r="BE26" s="378"/>
      <c r="BF26" s="106"/>
      <c r="BG26" s="106"/>
      <c r="BH26" s="106"/>
      <c r="BI26" s="106"/>
      <c r="BJ26" s="106"/>
      <c r="BK26" s="106"/>
      <c r="BL26" s="106"/>
      <c r="BM26" s="106"/>
      <c r="BN26" s="106"/>
      <c r="BO26" s="106"/>
      <c r="BP26" s="106"/>
      <c r="BQ26" s="106"/>
      <c r="BR26" s="106"/>
      <c r="BS26" s="106"/>
      <c r="BT26" s="106"/>
      <c r="BU26" s="106"/>
      <c r="BV26" s="106"/>
      <c r="BW26" s="106"/>
    </row>
    <row r="27" spans="1:75" ht="12.75">
      <c r="A27" s="124" t="s">
        <v>433</v>
      </c>
      <c r="B27" s="88">
        <v>106528</v>
      </c>
      <c r="C27" s="88">
        <v>47147</v>
      </c>
      <c r="D27" s="88">
        <v>50783</v>
      </c>
      <c r="E27" s="88">
        <v>124571</v>
      </c>
      <c r="F27" s="93">
        <v>329029</v>
      </c>
      <c r="G27" s="88">
        <v>119514</v>
      </c>
      <c r="H27" s="88">
        <v>63250</v>
      </c>
      <c r="I27" s="88">
        <v>54423</v>
      </c>
      <c r="J27" s="88">
        <v>122452</v>
      </c>
      <c r="K27" s="93">
        <v>359639</v>
      </c>
      <c r="L27" s="88">
        <v>149251</v>
      </c>
      <c r="M27" s="88">
        <v>71233</v>
      </c>
      <c r="N27" s="88">
        <v>63271</v>
      </c>
      <c r="O27" s="88">
        <v>146407</v>
      </c>
      <c r="P27" s="93">
        <v>430162</v>
      </c>
      <c r="Q27" s="88">
        <v>204537</v>
      </c>
      <c r="R27" s="88">
        <v>88441</v>
      </c>
      <c r="S27" s="88">
        <v>68957</v>
      </c>
      <c r="T27" s="88">
        <v>168409</v>
      </c>
      <c r="U27" s="93">
        <v>530344</v>
      </c>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300"/>
      <c r="AV27" s="106"/>
      <c r="AW27" s="300"/>
      <c r="AX27" s="106"/>
      <c r="AY27" s="106"/>
      <c r="AZ27" s="106"/>
      <c r="BA27" s="300"/>
      <c r="BB27" s="300"/>
      <c r="BC27" s="106"/>
      <c r="BD27" s="106"/>
      <c r="BE27" s="378"/>
      <c r="BF27" s="106"/>
      <c r="BG27" s="106"/>
      <c r="BH27" s="106"/>
      <c r="BI27" s="106"/>
      <c r="BJ27" s="106"/>
      <c r="BK27" s="106"/>
      <c r="BL27" s="106"/>
      <c r="BM27" s="106"/>
      <c r="BN27" s="106"/>
      <c r="BO27" s="106"/>
      <c r="BP27" s="106"/>
      <c r="BQ27" s="106"/>
      <c r="BR27" s="106"/>
      <c r="BS27" s="106"/>
      <c r="BT27" s="106"/>
      <c r="BU27" s="106"/>
      <c r="BV27" s="106"/>
      <c r="BW27" s="106"/>
    </row>
    <row r="28" spans="1:75" s="106" customFormat="1" ht="12.75" customHeight="1" hidden="1">
      <c r="A28" s="409" t="s">
        <v>62</v>
      </c>
      <c r="B28" s="106">
        <v>40031</v>
      </c>
      <c r="C28" s="106">
        <v>32621</v>
      </c>
      <c r="D28" s="106">
        <v>36357</v>
      </c>
      <c r="E28" s="106">
        <v>30132</v>
      </c>
      <c r="F28" s="108">
        <v>139141</v>
      </c>
      <c r="G28" s="106">
        <v>28604</v>
      </c>
      <c r="H28" s="106">
        <v>29537</v>
      </c>
      <c r="I28" s="106">
        <v>32586</v>
      </c>
      <c r="J28" s="106">
        <v>32287</v>
      </c>
      <c r="K28" s="108">
        <v>123014</v>
      </c>
      <c r="L28" s="106">
        <v>33331</v>
      </c>
      <c r="M28" s="106">
        <v>46953</v>
      </c>
      <c r="N28" s="106">
        <v>42425</v>
      </c>
      <c r="O28" s="106">
        <v>46297</v>
      </c>
      <c r="P28" s="108">
        <v>169006</v>
      </c>
      <c r="Q28" s="106">
        <v>44144</v>
      </c>
      <c r="R28" s="106">
        <v>49201</v>
      </c>
      <c r="S28" s="106">
        <v>47120</v>
      </c>
      <c r="T28" s="106">
        <v>57074</v>
      </c>
      <c r="U28" s="108">
        <v>197539</v>
      </c>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308"/>
      <c r="AV28" s="108"/>
      <c r="AW28" s="308"/>
      <c r="AX28" s="108"/>
      <c r="AY28" s="108"/>
      <c r="AZ28" s="108"/>
      <c r="BA28" s="308"/>
      <c r="BB28" s="308"/>
      <c r="BC28" s="108"/>
      <c r="BD28" s="108"/>
      <c r="BE28" s="386"/>
      <c r="BF28" s="108"/>
      <c r="BG28" s="108"/>
      <c r="BH28" s="108"/>
      <c r="BI28" s="108"/>
      <c r="BJ28" s="108"/>
      <c r="BK28" s="108"/>
      <c r="BL28" s="108"/>
      <c r="BM28" s="108"/>
      <c r="BN28" s="108"/>
      <c r="BO28" s="108"/>
      <c r="BP28" s="108"/>
      <c r="BQ28" s="108"/>
      <c r="BR28" s="108"/>
      <c r="BS28" s="108"/>
      <c r="BT28" s="108"/>
      <c r="BU28" s="108"/>
      <c r="BV28" s="108"/>
      <c r="BW28" s="108"/>
    </row>
    <row r="29" spans="1:75" ht="12.75">
      <c r="A29" s="124" t="s">
        <v>195</v>
      </c>
      <c r="B29" s="88">
        <v>7683</v>
      </c>
      <c r="C29" s="88">
        <v>11406</v>
      </c>
      <c r="D29" s="88">
        <v>3824</v>
      </c>
      <c r="E29" s="88">
        <v>6206</v>
      </c>
      <c r="F29" s="93">
        <v>29119</v>
      </c>
      <c r="G29" s="88">
        <v>8511</v>
      </c>
      <c r="H29" s="88">
        <v>6493</v>
      </c>
      <c r="I29" s="88">
        <v>2436</v>
      </c>
      <c r="J29" s="88">
        <v>2192</v>
      </c>
      <c r="K29" s="93">
        <v>19632</v>
      </c>
      <c r="L29" s="88">
        <v>3015</v>
      </c>
      <c r="M29" s="88">
        <v>-1630</v>
      </c>
      <c r="N29" s="88">
        <v>1005</v>
      </c>
      <c r="O29" s="88">
        <v>1554</v>
      </c>
      <c r="P29" s="93">
        <v>3944</v>
      </c>
      <c r="Q29" s="88">
        <v>924</v>
      </c>
      <c r="R29" s="88">
        <v>6707</v>
      </c>
      <c r="S29" s="88">
        <v>-4664</v>
      </c>
      <c r="T29" s="88">
        <v>1546</v>
      </c>
      <c r="U29" s="93">
        <v>4513</v>
      </c>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300"/>
      <c r="AV29" s="106"/>
      <c r="AW29" s="300"/>
      <c r="AX29" s="106"/>
      <c r="AY29" s="106"/>
      <c r="AZ29" s="106"/>
      <c r="BA29" s="300"/>
      <c r="BB29" s="300"/>
      <c r="BC29" s="106"/>
      <c r="BD29" s="106"/>
      <c r="BE29" s="378"/>
      <c r="BF29" s="106"/>
      <c r="BG29" s="106"/>
      <c r="BH29" s="106"/>
      <c r="BI29" s="106"/>
      <c r="BJ29" s="106"/>
      <c r="BK29" s="106"/>
      <c r="BL29" s="106"/>
      <c r="BM29" s="106"/>
      <c r="BN29" s="106"/>
      <c r="BO29" s="106"/>
      <c r="BP29" s="106"/>
      <c r="BQ29" s="106"/>
      <c r="BR29" s="106"/>
      <c r="BS29" s="106"/>
      <c r="BT29" s="106"/>
      <c r="BU29" s="106"/>
      <c r="BV29" s="106"/>
      <c r="BW29" s="106"/>
    </row>
    <row r="30" spans="1:75" ht="12.75">
      <c r="A30" s="104" t="s">
        <v>205</v>
      </c>
      <c r="B30" s="96">
        <v>305896</v>
      </c>
      <c r="C30" s="96">
        <v>261656</v>
      </c>
      <c r="D30" s="96">
        <v>290646</v>
      </c>
      <c r="E30" s="96">
        <v>316571</v>
      </c>
      <c r="F30" s="97">
        <v>1174769</v>
      </c>
      <c r="G30" s="96">
        <v>291799</v>
      </c>
      <c r="H30" s="96">
        <v>286520</v>
      </c>
      <c r="I30" s="96">
        <v>258271</v>
      </c>
      <c r="J30" s="96">
        <v>323067</v>
      </c>
      <c r="K30" s="97">
        <v>1159657</v>
      </c>
      <c r="L30" s="96">
        <v>338633</v>
      </c>
      <c r="M30" s="96">
        <v>354146</v>
      </c>
      <c r="N30" s="96">
        <v>356108</v>
      </c>
      <c r="O30" s="96">
        <v>455151</v>
      </c>
      <c r="P30" s="97">
        <v>1504038</v>
      </c>
      <c r="Q30" s="96">
        <v>472757</v>
      </c>
      <c r="R30" s="96">
        <v>424077</v>
      </c>
      <c r="S30" s="96">
        <v>452351</v>
      </c>
      <c r="T30" s="96">
        <v>606645</v>
      </c>
      <c r="U30" s="97">
        <v>1955830</v>
      </c>
      <c r="V30" s="108"/>
      <c r="W30" s="108"/>
      <c r="X30" s="108"/>
      <c r="Y30" s="108"/>
      <c r="Z30" s="108"/>
      <c r="AA30" s="108"/>
      <c r="AB30" s="108"/>
      <c r="AC30" s="106"/>
      <c r="AD30" s="106"/>
      <c r="AE30" s="106"/>
      <c r="AF30" s="106"/>
      <c r="AG30" s="106"/>
      <c r="AH30" s="106"/>
      <c r="AI30" s="106"/>
      <c r="AJ30" s="106"/>
      <c r="AK30" s="106"/>
      <c r="AL30" s="106"/>
      <c r="AM30" s="106"/>
      <c r="AN30" s="106"/>
      <c r="AO30" s="106"/>
      <c r="AP30" s="106"/>
      <c r="AQ30" s="106"/>
      <c r="AR30" s="106"/>
      <c r="AS30" s="106"/>
      <c r="AT30" s="106"/>
      <c r="AU30" s="300"/>
      <c r="AV30" s="106"/>
      <c r="AW30" s="300"/>
      <c r="AX30" s="106"/>
      <c r="AY30" s="106"/>
      <c r="AZ30" s="106"/>
      <c r="BA30" s="300"/>
      <c r="BB30" s="300"/>
      <c r="BC30" s="106"/>
      <c r="BD30" s="106"/>
      <c r="BE30" s="378"/>
      <c r="BF30" s="106"/>
      <c r="BG30" s="106"/>
      <c r="BH30" s="106"/>
      <c r="BI30" s="106"/>
      <c r="BJ30" s="106"/>
      <c r="BK30" s="106"/>
      <c r="BL30" s="106"/>
      <c r="BM30" s="106"/>
      <c r="BN30" s="106"/>
      <c r="BO30" s="106"/>
      <c r="BP30" s="106"/>
      <c r="BQ30" s="106"/>
      <c r="BR30" s="106"/>
      <c r="BS30" s="106"/>
      <c r="BT30" s="106"/>
      <c r="BU30" s="106"/>
      <c r="BV30" s="106"/>
      <c r="BW30" s="106"/>
    </row>
    <row r="31" spans="1:28" ht="12.75">
      <c r="A31" s="125"/>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row>
    <row r="32" spans="1:28" ht="12.75">
      <c r="A32" s="125"/>
      <c r="Z32" s="116"/>
      <c r="AA32" s="116"/>
      <c r="AB32" s="116"/>
    </row>
    <row r="33" spans="1:75" ht="25.5">
      <c r="A33" s="89" t="s">
        <v>536</v>
      </c>
      <c r="B33" s="90" t="s">
        <v>2</v>
      </c>
      <c r="C33" s="90" t="s">
        <v>3</v>
      </c>
      <c r="D33" s="90" t="s">
        <v>4</v>
      </c>
      <c r="E33" s="90" t="s">
        <v>5</v>
      </c>
      <c r="F33" s="90" t="s">
        <v>6</v>
      </c>
      <c r="G33" s="90" t="s">
        <v>12</v>
      </c>
      <c r="H33" s="90" t="s">
        <v>13</v>
      </c>
      <c r="I33" s="90" t="s">
        <v>14</v>
      </c>
      <c r="J33" s="90" t="s">
        <v>15</v>
      </c>
      <c r="K33" s="90" t="s">
        <v>16</v>
      </c>
      <c r="L33" s="90" t="s">
        <v>17</v>
      </c>
      <c r="M33" s="90" t="s">
        <v>18</v>
      </c>
      <c r="N33" s="90" t="s">
        <v>19</v>
      </c>
      <c r="O33" s="90" t="s">
        <v>20</v>
      </c>
      <c r="P33" s="90" t="s">
        <v>21</v>
      </c>
      <c r="Q33" s="90" t="s">
        <v>22</v>
      </c>
      <c r="R33" s="90" t="s">
        <v>23</v>
      </c>
      <c r="S33" s="90" t="s">
        <v>24</v>
      </c>
      <c r="T33" s="90" t="s">
        <v>25</v>
      </c>
      <c r="U33" s="90" t="s">
        <v>26</v>
      </c>
      <c r="V33" s="90" t="s">
        <v>27</v>
      </c>
      <c r="W33" s="90" t="s">
        <v>28</v>
      </c>
      <c r="X33" s="90" t="s">
        <v>29</v>
      </c>
      <c r="Y33" s="90" t="s">
        <v>30</v>
      </c>
      <c r="Z33" s="90" t="s">
        <v>31</v>
      </c>
      <c r="AA33" s="90" t="s">
        <v>32</v>
      </c>
      <c r="AB33" s="90" t="s">
        <v>33</v>
      </c>
      <c r="AC33" s="90" t="s">
        <v>34</v>
      </c>
      <c r="AD33" s="90" t="s">
        <v>271</v>
      </c>
      <c r="AE33" s="90" t="s">
        <v>272</v>
      </c>
      <c r="AF33" s="90" t="s">
        <v>274</v>
      </c>
      <c r="AG33" s="90" t="s">
        <v>276</v>
      </c>
      <c r="AH33" s="90" t="s">
        <v>278</v>
      </c>
      <c r="AI33" s="120" t="s">
        <v>280</v>
      </c>
      <c r="AJ33" s="120" t="s">
        <v>281</v>
      </c>
      <c r="AK33" s="120" t="s">
        <v>289</v>
      </c>
      <c r="AL33" s="120" t="s">
        <v>290</v>
      </c>
      <c r="AM33" s="120" t="s">
        <v>291</v>
      </c>
      <c r="AN33" s="120" t="s">
        <v>292</v>
      </c>
      <c r="AO33" s="120" t="s">
        <v>293</v>
      </c>
      <c r="AP33" s="120" t="s">
        <v>329</v>
      </c>
      <c r="AQ33" s="120" t="s">
        <v>330</v>
      </c>
      <c r="AR33" s="120" t="s">
        <v>331</v>
      </c>
      <c r="AS33" s="289" t="s">
        <v>490</v>
      </c>
      <c r="AT33" s="120" t="s">
        <v>332</v>
      </c>
      <c r="AU33" s="289" t="s">
        <v>477</v>
      </c>
      <c r="AV33" s="120" t="s">
        <v>333</v>
      </c>
      <c r="AW33" s="289" t="s">
        <v>463</v>
      </c>
      <c r="AX33" s="120" t="s">
        <v>448</v>
      </c>
      <c r="AY33" s="120" t="s">
        <v>451</v>
      </c>
      <c r="AZ33" s="120" t="s">
        <v>453</v>
      </c>
      <c r="BA33" s="289" t="s">
        <v>461</v>
      </c>
      <c r="BB33" s="289" t="s">
        <v>480</v>
      </c>
      <c r="BC33" s="120" t="s">
        <v>454</v>
      </c>
      <c r="BD33" s="120" t="s">
        <v>457</v>
      </c>
      <c r="BE33" s="342" t="s">
        <v>492</v>
      </c>
      <c r="BF33" s="7" t="s">
        <v>553</v>
      </c>
      <c r="BG33" s="7" t="s">
        <v>560</v>
      </c>
      <c r="BH33" s="7" t="s">
        <v>493</v>
      </c>
      <c r="BI33" s="7" t="s">
        <v>582</v>
      </c>
      <c r="BJ33" s="90" t="s">
        <v>494</v>
      </c>
      <c r="BK33" s="90" t="s">
        <v>573</v>
      </c>
      <c r="BL33" s="7" t="s">
        <v>495</v>
      </c>
      <c r="BM33" s="7" t="s">
        <v>554</v>
      </c>
      <c r="BN33" s="7" t="s">
        <v>611</v>
      </c>
      <c r="BO33" s="7" t="s">
        <v>561</v>
      </c>
      <c r="BP33" s="7" t="s">
        <v>572</v>
      </c>
      <c r="BQ33" s="7" t="s">
        <v>570</v>
      </c>
      <c r="BR33" s="120" t="s">
        <v>602</v>
      </c>
      <c r="BS33" s="7" t="s">
        <v>595</v>
      </c>
      <c r="BT33" s="7" t="s">
        <v>605</v>
      </c>
      <c r="BU33" s="7" t="s">
        <v>617</v>
      </c>
      <c r="BV33" s="7" t="s">
        <v>619</v>
      </c>
      <c r="BW33" s="120" t="s">
        <v>620</v>
      </c>
    </row>
    <row r="34" spans="1:75" ht="12.75">
      <c r="A34" s="125" t="s">
        <v>524</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7"/>
      <c r="AJ34" s="127"/>
      <c r="AK34" s="127"/>
      <c r="AL34" s="127"/>
      <c r="AM34" s="127"/>
      <c r="AN34" s="127"/>
      <c r="AO34" s="127"/>
      <c r="AP34" s="127"/>
      <c r="AQ34" s="127"/>
      <c r="AR34" s="127"/>
      <c r="AS34" s="127"/>
      <c r="AT34" s="127"/>
      <c r="AU34" s="303"/>
      <c r="AV34" s="127"/>
      <c r="AW34" s="303"/>
      <c r="AX34" s="127"/>
      <c r="AY34" s="127"/>
      <c r="AZ34" s="127"/>
      <c r="BA34" s="303"/>
      <c r="BB34" s="303"/>
      <c r="BC34" s="127"/>
      <c r="BD34" s="127"/>
      <c r="BE34" s="382"/>
      <c r="BF34" s="127"/>
      <c r="BG34" s="127"/>
      <c r="BH34" s="127"/>
      <c r="BI34" s="127"/>
      <c r="BJ34" s="127"/>
      <c r="BK34" s="127"/>
      <c r="BL34" s="127"/>
      <c r="BM34" s="127"/>
      <c r="BN34" s="127"/>
      <c r="BO34" s="127"/>
      <c r="BP34" s="127"/>
      <c r="BQ34" s="127"/>
      <c r="BR34" s="127"/>
      <c r="BS34" s="127"/>
      <c r="BT34" s="127"/>
      <c r="BU34" s="127"/>
      <c r="BV34" s="127"/>
      <c r="BW34" s="127"/>
    </row>
    <row r="35" spans="1:75" ht="12.75">
      <c r="A35" s="139" t="s">
        <v>518</v>
      </c>
      <c r="B35" s="88">
        <v>22470</v>
      </c>
      <c r="C35" s="88">
        <v>17301</v>
      </c>
      <c r="D35" s="88">
        <v>13073</v>
      </c>
      <c r="E35" s="88">
        <v>14320</v>
      </c>
      <c r="F35" s="93">
        <v>67164</v>
      </c>
      <c r="G35" s="88">
        <v>16628</v>
      </c>
      <c r="H35" s="88">
        <v>12046</v>
      </c>
      <c r="I35" s="88">
        <v>10587</v>
      </c>
      <c r="J35" s="88">
        <v>12094</v>
      </c>
      <c r="K35" s="93">
        <v>51355</v>
      </c>
      <c r="L35" s="88">
        <v>17963</v>
      </c>
      <c r="M35" s="88">
        <v>11193</v>
      </c>
      <c r="N35" s="88">
        <v>8204</v>
      </c>
      <c r="O35" s="88">
        <v>6134</v>
      </c>
      <c r="P35" s="93">
        <v>43494</v>
      </c>
      <c r="Q35" s="88">
        <v>11959</v>
      </c>
      <c r="R35" s="88">
        <v>12851</v>
      </c>
      <c r="S35" s="88">
        <v>18915</v>
      </c>
      <c r="T35" s="88">
        <v>10442</v>
      </c>
      <c r="U35" s="93">
        <v>54167</v>
      </c>
      <c r="V35" s="88">
        <v>16994</v>
      </c>
      <c r="W35" s="88">
        <v>24124</v>
      </c>
      <c r="X35" s="88">
        <v>32834</v>
      </c>
      <c r="Y35" s="88">
        <v>31422</v>
      </c>
      <c r="Z35" s="93">
        <v>105374</v>
      </c>
      <c r="AA35" s="88">
        <f aca="true" t="shared" si="1" ref="AA35:AA41">AE35-AD35-AC35-AB35</f>
        <v>38256</v>
      </c>
      <c r="AB35" s="88">
        <v>32474</v>
      </c>
      <c r="AC35" s="88">
        <v>34893</v>
      </c>
      <c r="AD35" s="88">
        <v>14817</v>
      </c>
      <c r="AE35" s="93">
        <v>120440</v>
      </c>
      <c r="AF35" s="88">
        <v>17048</v>
      </c>
      <c r="AG35" s="88">
        <v>23538</v>
      </c>
      <c r="AH35" s="88">
        <v>20135</v>
      </c>
      <c r="AI35" s="88">
        <v>18143</v>
      </c>
      <c r="AJ35" s="93">
        <v>78864</v>
      </c>
      <c r="AK35" s="88">
        <v>89195</v>
      </c>
      <c r="AL35" s="88">
        <v>30559</v>
      </c>
      <c r="AM35" s="88">
        <v>32906</v>
      </c>
      <c r="AN35" s="88">
        <v>38474</v>
      </c>
      <c r="AO35" s="93">
        <v>191134</v>
      </c>
      <c r="AP35" s="88">
        <v>46036</v>
      </c>
      <c r="AQ35" s="88">
        <v>15178</v>
      </c>
      <c r="AR35" s="88">
        <v>35117</v>
      </c>
      <c r="AS35" s="88">
        <v>88036</v>
      </c>
      <c r="AT35" s="88">
        <v>39612</v>
      </c>
      <c r="AU35" s="100">
        <v>48686</v>
      </c>
      <c r="AV35" s="93">
        <v>135943</v>
      </c>
      <c r="AW35" s="101">
        <v>136722</v>
      </c>
      <c r="AX35" s="88">
        <v>52211</v>
      </c>
      <c r="AY35" s="88">
        <v>38317</v>
      </c>
      <c r="AZ35" s="88">
        <v>81321</v>
      </c>
      <c r="BA35" s="100">
        <v>68693</v>
      </c>
      <c r="BB35" s="100">
        <v>134480</v>
      </c>
      <c r="BC35" s="88">
        <v>74281</v>
      </c>
      <c r="BD35" s="93">
        <v>208761</v>
      </c>
      <c r="BE35" s="372">
        <v>54154</v>
      </c>
      <c r="BF35" s="88">
        <v>35888</v>
      </c>
      <c r="BG35" s="88">
        <v>75477</v>
      </c>
      <c r="BH35" s="88">
        <v>71000</v>
      </c>
      <c r="BI35" s="88">
        <v>71000</v>
      </c>
      <c r="BJ35" s="93">
        <v>236519</v>
      </c>
      <c r="BK35" s="93">
        <v>236519</v>
      </c>
      <c r="BL35" s="88">
        <v>83767</v>
      </c>
      <c r="BM35" s="88">
        <v>73792</v>
      </c>
      <c r="BN35" s="88">
        <v>73792</v>
      </c>
      <c r="BO35" s="88">
        <v>76797</v>
      </c>
      <c r="BP35" s="88">
        <v>76797</v>
      </c>
      <c r="BQ35" s="88">
        <v>87283</v>
      </c>
      <c r="BR35" s="93">
        <v>321639</v>
      </c>
      <c r="BS35" s="88">
        <v>66480</v>
      </c>
      <c r="BT35" s="88">
        <v>59843</v>
      </c>
      <c r="BU35" s="88">
        <v>71688</v>
      </c>
      <c r="BV35" s="88">
        <v>56351</v>
      </c>
      <c r="BW35" s="473">
        <v>254362</v>
      </c>
    </row>
    <row r="36" spans="1:75" ht="12.75">
      <c r="A36" s="139" t="s">
        <v>517</v>
      </c>
      <c r="B36" s="88">
        <v>15886</v>
      </c>
      <c r="C36" s="88">
        <v>19325</v>
      </c>
      <c r="D36" s="88">
        <v>18065</v>
      </c>
      <c r="E36" s="88">
        <v>16860</v>
      </c>
      <c r="F36" s="93">
        <v>70136</v>
      </c>
      <c r="G36" s="88">
        <v>3423</v>
      </c>
      <c r="H36" s="88">
        <v>21080</v>
      </c>
      <c r="I36" s="88">
        <v>11526</v>
      </c>
      <c r="J36" s="88">
        <v>1321</v>
      </c>
      <c r="K36" s="93">
        <v>37350</v>
      </c>
      <c r="L36" s="88">
        <v>13483</v>
      </c>
      <c r="M36" s="88">
        <v>12182</v>
      </c>
      <c r="N36" s="88">
        <v>21404</v>
      </c>
      <c r="O36" s="88">
        <v>20565</v>
      </c>
      <c r="P36" s="93">
        <v>67634</v>
      </c>
      <c r="Q36" s="88">
        <v>23634</v>
      </c>
      <c r="R36" s="88">
        <v>32180</v>
      </c>
      <c r="S36" s="88">
        <v>59047</v>
      </c>
      <c r="T36" s="88">
        <v>44041</v>
      </c>
      <c r="U36" s="93">
        <v>158902</v>
      </c>
      <c r="V36" s="88">
        <v>37683</v>
      </c>
      <c r="W36" s="88">
        <v>50179</v>
      </c>
      <c r="X36" s="88">
        <v>50698</v>
      </c>
      <c r="Y36" s="88">
        <v>38427</v>
      </c>
      <c r="Z36" s="93">
        <v>176987</v>
      </c>
      <c r="AA36" s="88">
        <f t="shared" si="1"/>
        <v>24235</v>
      </c>
      <c r="AB36" s="88">
        <v>69079</v>
      </c>
      <c r="AC36" s="88">
        <v>58697</v>
      </c>
      <c r="AD36" s="88">
        <v>17017</v>
      </c>
      <c r="AE36" s="93">
        <v>169028</v>
      </c>
      <c r="AF36" s="88">
        <v>28352</v>
      </c>
      <c r="AG36" s="88">
        <v>58530</v>
      </c>
      <c r="AH36" s="88">
        <v>47220</v>
      </c>
      <c r="AI36" s="88">
        <v>37833</v>
      </c>
      <c r="AJ36" s="93">
        <v>171935</v>
      </c>
      <c r="AK36" s="88">
        <v>40149</v>
      </c>
      <c r="AL36" s="88">
        <v>68957</v>
      </c>
      <c r="AM36" s="88">
        <v>4539</v>
      </c>
      <c r="AN36" s="88">
        <v>-41273</v>
      </c>
      <c r="AO36" s="93">
        <v>72372</v>
      </c>
      <c r="AP36" s="88">
        <v>4676</v>
      </c>
      <c r="AQ36" s="88">
        <v>41289</v>
      </c>
      <c r="AR36" s="88">
        <v>-1658</v>
      </c>
      <c r="AS36" s="88">
        <v>44307</v>
      </c>
      <c r="AT36" s="88">
        <v>-26313</v>
      </c>
      <c r="AU36" s="100">
        <v>-28833</v>
      </c>
      <c r="AV36" s="93">
        <v>17994</v>
      </c>
      <c r="AW36" s="101">
        <v>15474</v>
      </c>
      <c r="AX36" s="88">
        <v>-2988</v>
      </c>
      <c r="AY36" s="88">
        <v>20824</v>
      </c>
      <c r="AZ36" s="88">
        <v>19872</v>
      </c>
      <c r="BA36" s="100">
        <v>19872</v>
      </c>
      <c r="BB36" s="100">
        <v>37708</v>
      </c>
      <c r="BC36" s="88">
        <v>3306</v>
      </c>
      <c r="BD36" s="93">
        <v>41014</v>
      </c>
      <c r="BE36" s="372">
        <v>-4054</v>
      </c>
      <c r="BF36" s="88">
        <v>13433</v>
      </c>
      <c r="BG36" s="88">
        <v>32034</v>
      </c>
      <c r="BH36" s="88">
        <v>-9827</v>
      </c>
      <c r="BI36" s="88">
        <v>-9827</v>
      </c>
      <c r="BJ36" s="93">
        <v>31586</v>
      </c>
      <c r="BK36" s="93">
        <v>31586</v>
      </c>
      <c r="BL36" s="88">
        <v>32119</v>
      </c>
      <c r="BM36" s="88">
        <v>5361</v>
      </c>
      <c r="BN36" s="88">
        <v>5382</v>
      </c>
      <c r="BO36" s="88">
        <v>-24253.928</v>
      </c>
      <c r="BP36" s="88">
        <v>-24233</v>
      </c>
      <c r="BQ36" s="88">
        <v>-87498</v>
      </c>
      <c r="BR36" s="93">
        <v>-74230</v>
      </c>
      <c r="BS36" s="88">
        <v>15350</v>
      </c>
      <c r="BT36" s="88">
        <v>-44022</v>
      </c>
      <c r="BU36" s="88">
        <v>44100</v>
      </c>
      <c r="BV36" s="88">
        <v>-11619</v>
      </c>
      <c r="BW36" s="473">
        <v>3809</v>
      </c>
    </row>
    <row r="37" spans="1:75" ht="14.25">
      <c r="A37" s="139" t="s">
        <v>538</v>
      </c>
      <c r="B37" s="88">
        <v>-41441</v>
      </c>
      <c r="C37" s="88">
        <v>-38916</v>
      </c>
      <c r="D37" s="88">
        <v>-24702</v>
      </c>
      <c r="E37" s="88">
        <v>-17111</v>
      </c>
      <c r="F37" s="93">
        <v>-122170</v>
      </c>
      <c r="G37" s="88">
        <v>-6669</v>
      </c>
      <c r="H37" s="88">
        <v>2887</v>
      </c>
      <c r="I37" s="88">
        <v>4712</v>
      </c>
      <c r="J37" s="88">
        <v>-735</v>
      </c>
      <c r="K37" s="93">
        <v>195</v>
      </c>
      <c r="L37" s="88">
        <v>-2323</v>
      </c>
      <c r="M37" s="88">
        <v>-9652</v>
      </c>
      <c r="N37" s="88">
        <v>15685</v>
      </c>
      <c r="O37" s="88">
        <v>3817</v>
      </c>
      <c r="P37" s="93">
        <v>7527</v>
      </c>
      <c r="Q37" s="88">
        <v>20930</v>
      </c>
      <c r="R37" s="88">
        <v>13070</v>
      </c>
      <c r="S37" s="88">
        <v>12887</v>
      </c>
      <c r="T37" s="88">
        <v>17954</v>
      </c>
      <c r="U37" s="93">
        <v>64841</v>
      </c>
      <c r="V37" s="88">
        <v>30471</v>
      </c>
      <c r="W37" s="88">
        <v>11990</v>
      </c>
      <c r="X37" s="88">
        <v>9834</v>
      </c>
      <c r="Y37" s="88">
        <v>-1880</v>
      </c>
      <c r="Z37" s="93">
        <v>50415</v>
      </c>
      <c r="AA37" s="88">
        <f t="shared" si="1"/>
        <v>86173</v>
      </c>
      <c r="AB37" s="88">
        <v>9684</v>
      </c>
      <c r="AC37" s="88">
        <v>5467</v>
      </c>
      <c r="AD37" s="88">
        <v>8296</v>
      </c>
      <c r="AE37" s="93">
        <v>109620</v>
      </c>
      <c r="AF37" s="88">
        <v>12816</v>
      </c>
      <c r="AG37" s="88">
        <v>8320</v>
      </c>
      <c r="AH37" s="88">
        <v>8501</v>
      </c>
      <c r="AI37" s="88">
        <v>9106</v>
      </c>
      <c r="AJ37" s="93">
        <v>38743</v>
      </c>
      <c r="AK37" s="88">
        <v>11253</v>
      </c>
      <c r="AL37" s="88">
        <v>8596</v>
      </c>
      <c r="AM37" s="88">
        <v>7941</v>
      </c>
      <c r="AN37" s="88">
        <v>10686</v>
      </c>
      <c r="AO37" s="93">
        <v>38476</v>
      </c>
      <c r="AP37" s="88">
        <v>18216</v>
      </c>
      <c r="AQ37" s="88">
        <v>11588</v>
      </c>
      <c r="AR37" s="88">
        <v>16633</v>
      </c>
      <c r="AS37" s="88">
        <v>46437</v>
      </c>
      <c r="AT37" s="88">
        <v>16048</v>
      </c>
      <c r="AU37" s="100">
        <v>15465</v>
      </c>
      <c r="AV37" s="93">
        <v>62485</v>
      </c>
      <c r="AW37" s="101">
        <v>61902</v>
      </c>
      <c r="AX37" s="88">
        <v>25287</v>
      </c>
      <c r="AY37" s="88">
        <v>20654</v>
      </c>
      <c r="AZ37" s="88">
        <v>5558</v>
      </c>
      <c r="BA37" s="100">
        <v>5558</v>
      </c>
      <c r="BB37" s="100">
        <v>51499</v>
      </c>
      <c r="BC37" s="88">
        <v>15750</v>
      </c>
      <c r="BD37" s="93">
        <v>67249</v>
      </c>
      <c r="BE37" s="372">
        <v>12569</v>
      </c>
      <c r="BF37" s="88">
        <v>17346</v>
      </c>
      <c r="BG37" s="88">
        <v>4598</v>
      </c>
      <c r="BH37" s="88">
        <v>13279</v>
      </c>
      <c r="BI37" s="88">
        <v>13400</v>
      </c>
      <c r="BJ37" s="93">
        <v>47792</v>
      </c>
      <c r="BK37" s="93">
        <v>48387</v>
      </c>
      <c r="BL37" s="88">
        <v>18604.816839</v>
      </c>
      <c r="BM37" s="88">
        <v>14542</v>
      </c>
      <c r="BN37" s="88">
        <v>14700.183161</v>
      </c>
      <c r="BO37" s="88">
        <v>15905</v>
      </c>
      <c r="BP37" s="88">
        <v>15982</v>
      </c>
      <c r="BQ37" s="88">
        <v>12618</v>
      </c>
      <c r="BR37" s="93">
        <v>61905</v>
      </c>
      <c r="BS37" s="88">
        <v>12358</v>
      </c>
      <c r="BT37" s="88">
        <v>8037</v>
      </c>
      <c r="BU37" s="88">
        <v>12607</v>
      </c>
      <c r="BV37" s="88">
        <v>2806</v>
      </c>
      <c r="BW37" s="473">
        <v>35808</v>
      </c>
    </row>
    <row r="38" spans="1:73" s="106" customFormat="1" ht="12.75" hidden="1">
      <c r="A38" s="406" t="s">
        <v>62</v>
      </c>
      <c r="B38" s="106">
        <v>2912</v>
      </c>
      <c r="C38" s="106">
        <v>-1856</v>
      </c>
      <c r="D38" s="106">
        <v>1676</v>
      </c>
      <c r="E38" s="106">
        <v>2253</v>
      </c>
      <c r="F38" s="106">
        <v>4985</v>
      </c>
      <c r="G38" s="106">
        <v>238</v>
      </c>
      <c r="H38" s="106">
        <v>2944</v>
      </c>
      <c r="I38" s="106">
        <v>3318</v>
      </c>
      <c r="J38" s="106">
        <v>-3392</v>
      </c>
      <c r="K38" s="106">
        <v>3108</v>
      </c>
      <c r="L38" s="106">
        <v>1267</v>
      </c>
      <c r="M38" s="106">
        <v>3554</v>
      </c>
      <c r="N38" s="106">
        <v>-4752</v>
      </c>
      <c r="O38" s="106">
        <v>1218</v>
      </c>
      <c r="P38" s="106">
        <v>1287</v>
      </c>
      <c r="Q38" s="106">
        <v>3756</v>
      </c>
      <c r="R38" s="106">
        <v>3376</v>
      </c>
      <c r="S38" s="106">
        <v>3899</v>
      </c>
      <c r="T38" s="106">
        <v>7770</v>
      </c>
      <c r="U38" s="106">
        <v>18801</v>
      </c>
      <c r="V38" s="106">
        <v>9633</v>
      </c>
      <c r="W38" s="106">
        <v>3684</v>
      </c>
      <c r="X38" s="106">
        <v>166</v>
      </c>
      <c r="Y38" s="106">
        <v>5631</v>
      </c>
      <c r="Z38" s="106">
        <v>19114</v>
      </c>
      <c r="AA38" s="106">
        <f t="shared" si="1"/>
        <v>3653</v>
      </c>
      <c r="AB38" s="106">
        <v>3919</v>
      </c>
      <c r="AC38" s="106">
        <v>5463</v>
      </c>
      <c r="AD38" s="106">
        <v>10250</v>
      </c>
      <c r="AE38" s="106">
        <v>23285</v>
      </c>
      <c r="AF38" s="106">
        <v>12630</v>
      </c>
      <c r="AG38" s="106">
        <v>12188</v>
      </c>
      <c r="AH38" s="106">
        <v>11940</v>
      </c>
      <c r="AI38" s="106">
        <v>4134</v>
      </c>
      <c r="AJ38" s="106">
        <v>40892</v>
      </c>
      <c r="AK38" s="106">
        <v>2638</v>
      </c>
      <c r="AL38" s="106">
        <v>-13743</v>
      </c>
      <c r="AM38" s="106">
        <v>-190</v>
      </c>
      <c r="AN38" s="106">
        <v>3752</v>
      </c>
      <c r="AO38" s="106">
        <v>-7543</v>
      </c>
      <c r="AP38" s="106">
        <v>-3711</v>
      </c>
      <c r="AQ38" s="106">
        <v>-9335</v>
      </c>
      <c r="AR38" s="106">
        <v>1377</v>
      </c>
      <c r="AS38" s="106">
        <v>-11669</v>
      </c>
      <c r="AT38" s="106">
        <v>-3582</v>
      </c>
      <c r="AU38" s="300">
        <v>-3550</v>
      </c>
      <c r="AV38" s="106">
        <v>-15251</v>
      </c>
      <c r="AW38" s="300">
        <v>-15219</v>
      </c>
      <c r="AX38" s="106">
        <v>-2170</v>
      </c>
      <c r="AY38" s="106">
        <v>1576</v>
      </c>
      <c r="AZ38" s="106">
        <v>6046</v>
      </c>
      <c r="BA38" s="300">
        <v>6046</v>
      </c>
      <c r="BB38" s="300">
        <v>5452</v>
      </c>
      <c r="BC38" s="106">
        <v>-4220</v>
      </c>
      <c r="BD38" s="106">
        <v>1232</v>
      </c>
      <c r="BE38" s="378"/>
      <c r="BF38" s="106">
        <v>0</v>
      </c>
      <c r="BG38" s="106">
        <v>0</v>
      </c>
      <c r="BM38" s="106">
        <v>0</v>
      </c>
      <c r="BO38" s="106">
        <v>0</v>
      </c>
      <c r="BU38" s="106">
        <v>0</v>
      </c>
    </row>
    <row r="39" spans="1:75" ht="12.75">
      <c r="A39" s="124" t="s">
        <v>195</v>
      </c>
      <c r="B39" s="88">
        <v>-2734</v>
      </c>
      <c r="C39" s="88">
        <v>-5641</v>
      </c>
      <c r="D39" s="88">
        <v>-7507</v>
      </c>
      <c r="E39" s="88">
        <v>-8975</v>
      </c>
      <c r="F39" s="93">
        <v>-24857</v>
      </c>
      <c r="G39" s="88">
        <v>-4980</v>
      </c>
      <c r="H39" s="88">
        <v>-6438</v>
      </c>
      <c r="I39" s="88">
        <v>-7948</v>
      </c>
      <c r="J39" s="88">
        <v>-15783</v>
      </c>
      <c r="K39" s="93">
        <v>-35149</v>
      </c>
      <c r="L39" s="88">
        <v>-5593</v>
      </c>
      <c r="M39" s="88">
        <v>-11599</v>
      </c>
      <c r="N39" s="88">
        <v>-8891</v>
      </c>
      <c r="O39" s="88">
        <v>-9282</v>
      </c>
      <c r="P39" s="93">
        <v>-35365</v>
      </c>
      <c r="Q39" s="88">
        <v>-5622</v>
      </c>
      <c r="R39" s="88">
        <v>-10451</v>
      </c>
      <c r="S39" s="88">
        <v>-8447</v>
      </c>
      <c r="T39" s="88">
        <v>-27457</v>
      </c>
      <c r="U39" s="93">
        <v>-51977</v>
      </c>
      <c r="V39" s="88">
        <v>-12645</v>
      </c>
      <c r="W39" s="88">
        <v>-7994</v>
      </c>
      <c r="X39" s="88">
        <v>-12711</v>
      </c>
      <c r="Y39" s="88">
        <v>-8438</v>
      </c>
      <c r="Z39" s="93">
        <v>-41788</v>
      </c>
      <c r="AA39" s="88">
        <f t="shared" si="1"/>
        <v>-11494</v>
      </c>
      <c r="AB39" s="88">
        <v>-13926</v>
      </c>
      <c r="AC39" s="88">
        <v>-9987</v>
      </c>
      <c r="AD39" s="88">
        <v>-9683</v>
      </c>
      <c r="AE39" s="93">
        <v>-45090</v>
      </c>
      <c r="AF39" s="88">
        <v>5675</v>
      </c>
      <c r="AG39" s="88">
        <v>-9139</v>
      </c>
      <c r="AH39" s="88">
        <v>8745</v>
      </c>
      <c r="AI39" s="88">
        <v>21165</v>
      </c>
      <c r="AJ39" s="93">
        <v>26446</v>
      </c>
      <c r="AK39" s="88">
        <v>-9145</v>
      </c>
      <c r="AL39" s="88">
        <v>-5105</v>
      </c>
      <c r="AM39" s="88">
        <v>-14328</v>
      </c>
      <c r="AN39" s="88">
        <v>-9675</v>
      </c>
      <c r="AO39" s="93">
        <v>-38253</v>
      </c>
      <c r="AP39" s="88">
        <v>8517</v>
      </c>
      <c r="AQ39" s="88">
        <v>10774</v>
      </c>
      <c r="AR39" s="88">
        <v>-13195</v>
      </c>
      <c r="AS39" s="88">
        <v>6096</v>
      </c>
      <c r="AT39" s="88">
        <v>30534</v>
      </c>
      <c r="AU39" s="100">
        <v>21904</v>
      </c>
      <c r="AV39" s="93">
        <v>36630</v>
      </c>
      <c r="AW39" s="101">
        <v>28000</v>
      </c>
      <c r="AX39" s="88">
        <v>-11956</v>
      </c>
      <c r="AY39" s="88">
        <v>-22317</v>
      </c>
      <c r="AZ39" s="88">
        <v>-19133</v>
      </c>
      <c r="BA39" s="100">
        <v>-19133</v>
      </c>
      <c r="BB39" s="100">
        <v>-53406</v>
      </c>
      <c r="BC39" s="88">
        <v>-24417</v>
      </c>
      <c r="BD39" s="93">
        <v>-77823</v>
      </c>
      <c r="BE39" s="372">
        <v>-11956</v>
      </c>
      <c r="BF39" s="88">
        <v>-13267</v>
      </c>
      <c r="BG39" s="88">
        <v>-24279</v>
      </c>
      <c r="BH39" s="88">
        <v>-19214</v>
      </c>
      <c r="BI39" s="88">
        <v>-17817</v>
      </c>
      <c r="BJ39" s="93">
        <v>-68716</v>
      </c>
      <c r="BK39" s="93">
        <v>-62891</v>
      </c>
      <c r="BL39" s="88">
        <v>-21223.6504198899</v>
      </c>
      <c r="BM39" s="88">
        <v>-10878</v>
      </c>
      <c r="BN39" s="88">
        <v>-9866.349580110102</v>
      </c>
      <c r="BO39" s="88">
        <v>-9655.072</v>
      </c>
      <c r="BP39" s="88">
        <v>-8014</v>
      </c>
      <c r="BQ39" s="88">
        <v>-5406</v>
      </c>
      <c r="BR39" s="93">
        <v>-44510</v>
      </c>
      <c r="BS39" s="88">
        <v>-11708</v>
      </c>
      <c r="BT39" s="88">
        <v>-11391</v>
      </c>
      <c r="BU39" s="88">
        <v>-13071</v>
      </c>
      <c r="BV39" s="88">
        <v>-20405</v>
      </c>
      <c r="BW39" s="473">
        <v>-56575</v>
      </c>
    </row>
    <row r="40" spans="1:75" ht="12.75">
      <c r="A40" s="124" t="s">
        <v>450</v>
      </c>
      <c r="B40" s="88">
        <v>5956</v>
      </c>
      <c r="C40" s="88">
        <v>-4048</v>
      </c>
      <c r="D40" s="88">
        <v>-7774</v>
      </c>
      <c r="E40" s="88">
        <v>7431</v>
      </c>
      <c r="F40" s="93">
        <v>1565</v>
      </c>
      <c r="G40" s="88">
        <v>3546</v>
      </c>
      <c r="H40" s="88">
        <v>-3544</v>
      </c>
      <c r="I40" s="88">
        <v>-5374</v>
      </c>
      <c r="J40" s="88">
        <v>5682</v>
      </c>
      <c r="K40" s="93">
        <v>310</v>
      </c>
      <c r="L40" s="88">
        <v>3350</v>
      </c>
      <c r="M40" s="88">
        <v>-5386</v>
      </c>
      <c r="N40" s="88">
        <v>-3021</v>
      </c>
      <c r="O40" s="88">
        <v>3551</v>
      </c>
      <c r="P40" s="93">
        <v>-1506</v>
      </c>
      <c r="Q40" s="88">
        <v>7164</v>
      </c>
      <c r="R40" s="88">
        <v>-3342</v>
      </c>
      <c r="S40" s="88">
        <v>-4658</v>
      </c>
      <c r="T40" s="88">
        <v>4873</v>
      </c>
      <c r="U40" s="93">
        <v>4037</v>
      </c>
      <c r="V40" s="88">
        <v>10284</v>
      </c>
      <c r="W40" s="88">
        <v>-4558</v>
      </c>
      <c r="X40" s="88">
        <v>-10960</v>
      </c>
      <c r="Y40" s="88">
        <v>-432</v>
      </c>
      <c r="Z40" s="93">
        <v>-5666</v>
      </c>
      <c r="AA40" s="88">
        <f t="shared" si="1"/>
        <v>14344</v>
      </c>
      <c r="AB40" s="88">
        <v>1096</v>
      </c>
      <c r="AC40" s="88">
        <v>221</v>
      </c>
      <c r="AD40" s="88">
        <v>1869</v>
      </c>
      <c r="AE40" s="93">
        <v>17530</v>
      </c>
      <c r="AF40" s="88">
        <v>-1421</v>
      </c>
      <c r="AG40" s="88">
        <v>-1899</v>
      </c>
      <c r="AH40" s="88">
        <v>-576</v>
      </c>
      <c r="AI40" s="88">
        <v>2521</v>
      </c>
      <c r="AJ40" s="93">
        <v>-1375</v>
      </c>
      <c r="AK40" s="88">
        <v>-66789</v>
      </c>
      <c r="AL40" s="88">
        <v>-171</v>
      </c>
      <c r="AM40" s="88">
        <v>5774</v>
      </c>
      <c r="AN40" s="88">
        <v>4412</v>
      </c>
      <c r="AO40" s="93">
        <v>-56774</v>
      </c>
      <c r="AP40" s="88">
        <v>-6325</v>
      </c>
      <c r="AQ40" s="88">
        <v>9352</v>
      </c>
      <c r="AR40" s="88">
        <v>2709</v>
      </c>
      <c r="AS40" s="88">
        <v>5736</v>
      </c>
      <c r="AT40" s="88">
        <v>-298</v>
      </c>
      <c r="AU40" s="100">
        <v>-236</v>
      </c>
      <c r="AV40" s="93">
        <v>5438</v>
      </c>
      <c r="AW40" s="101">
        <v>5500</v>
      </c>
      <c r="AX40" s="88">
        <v>-900</v>
      </c>
      <c r="AY40" s="88">
        <v>476</v>
      </c>
      <c r="AZ40" s="88">
        <v>2422</v>
      </c>
      <c r="BA40" s="100">
        <v>2422</v>
      </c>
      <c r="BB40" s="100">
        <v>1998</v>
      </c>
      <c r="BC40" s="88">
        <v>-1835</v>
      </c>
      <c r="BD40" s="93">
        <v>163</v>
      </c>
      <c r="BE40" s="372">
        <v>-2601</v>
      </c>
      <c r="BF40" s="88">
        <v>-7239</v>
      </c>
      <c r="BG40" s="88">
        <v>-4372</v>
      </c>
      <c r="BH40" s="88">
        <v>6088</v>
      </c>
      <c r="BI40" s="88">
        <v>6089</v>
      </c>
      <c r="BJ40" s="93">
        <v>-8123</v>
      </c>
      <c r="BK40" s="93">
        <v>-8123</v>
      </c>
      <c r="BL40" s="88">
        <v>-3912</v>
      </c>
      <c r="BM40" s="88">
        <v>-4378</v>
      </c>
      <c r="BN40" s="88">
        <v>-4378</v>
      </c>
      <c r="BO40" s="88">
        <v>-8026</v>
      </c>
      <c r="BP40" s="88">
        <v>-8026</v>
      </c>
      <c r="BQ40" s="88">
        <v>4694</v>
      </c>
      <c r="BR40" s="93">
        <v>-11622</v>
      </c>
      <c r="BS40" s="88">
        <v>863</v>
      </c>
      <c r="BT40" s="88">
        <v>-11403</v>
      </c>
      <c r="BU40" s="88">
        <v>-12282</v>
      </c>
      <c r="BV40" s="88">
        <v>5869</v>
      </c>
      <c r="BW40" s="473">
        <v>-16953</v>
      </c>
    </row>
    <row r="41" spans="1:75" s="106" customFormat="1" ht="12.75" hidden="1">
      <c r="A41" s="409" t="s">
        <v>424</v>
      </c>
      <c r="B41" s="108">
        <v>3049</v>
      </c>
      <c r="C41" s="108">
        <v>-13835</v>
      </c>
      <c r="D41" s="108">
        <v>-7169</v>
      </c>
      <c r="E41" s="108">
        <v>14778</v>
      </c>
      <c r="F41" s="108">
        <v>-3177</v>
      </c>
      <c r="G41" s="108">
        <v>12186</v>
      </c>
      <c r="H41" s="108">
        <v>28975</v>
      </c>
      <c r="I41" s="108">
        <v>16821</v>
      </c>
      <c r="J41" s="108">
        <v>-813</v>
      </c>
      <c r="K41" s="108">
        <v>57169</v>
      </c>
      <c r="L41" s="108">
        <v>28147</v>
      </c>
      <c r="M41" s="108">
        <v>292</v>
      </c>
      <c r="N41" s="108">
        <v>28629</v>
      </c>
      <c r="O41" s="108">
        <v>26003</v>
      </c>
      <c r="P41" s="108">
        <v>83071</v>
      </c>
      <c r="Q41" s="108">
        <v>61821</v>
      </c>
      <c r="R41" s="108">
        <v>47684</v>
      </c>
      <c r="S41" s="108">
        <v>81643</v>
      </c>
      <c r="T41" s="108">
        <v>57623</v>
      </c>
      <c r="U41" s="108">
        <v>248771</v>
      </c>
      <c r="V41" s="108">
        <v>92420</v>
      </c>
      <c r="W41" s="108">
        <v>77425</v>
      </c>
      <c r="X41" s="108">
        <v>69861</v>
      </c>
      <c r="Y41" s="108">
        <v>64730</v>
      </c>
      <c r="Z41" s="108">
        <v>304436</v>
      </c>
      <c r="AA41" s="108">
        <f t="shared" si="1"/>
        <v>155167</v>
      </c>
      <c r="AB41" s="108">
        <v>102326</v>
      </c>
      <c r="AC41" s="108">
        <v>94754</v>
      </c>
      <c r="AD41" s="108">
        <v>42566</v>
      </c>
      <c r="AE41" s="108">
        <v>394813</v>
      </c>
      <c r="AF41" s="108">
        <v>75100</v>
      </c>
      <c r="AG41" s="108">
        <v>91538</v>
      </c>
      <c r="AH41" s="108">
        <v>95965</v>
      </c>
      <c r="AI41" s="108">
        <v>92902</v>
      </c>
      <c r="AJ41" s="108">
        <v>355505</v>
      </c>
      <c r="AK41" s="108">
        <v>67301</v>
      </c>
      <c r="AL41" s="108">
        <v>89093</v>
      </c>
      <c r="AM41" s="108">
        <v>36642</v>
      </c>
      <c r="AN41" s="108">
        <v>6376</v>
      </c>
      <c r="AO41" s="108">
        <v>199412</v>
      </c>
      <c r="AP41" s="108">
        <v>67409</v>
      </c>
      <c r="AQ41" s="108">
        <v>78846</v>
      </c>
      <c r="AR41" s="108">
        <v>40983</v>
      </c>
      <c r="AS41" s="108"/>
      <c r="AT41" s="108">
        <v>56001</v>
      </c>
      <c r="AU41" s="308"/>
      <c r="AV41" s="108">
        <v>243239</v>
      </c>
      <c r="AW41" s="308"/>
      <c r="AX41" s="108">
        <v>59484</v>
      </c>
      <c r="AY41" s="108">
        <v>59530</v>
      </c>
      <c r="AZ41" s="108">
        <v>96086</v>
      </c>
      <c r="BA41" s="308"/>
      <c r="BB41" s="308"/>
      <c r="BC41" s="108"/>
      <c r="BD41" s="108"/>
      <c r="BE41" s="386"/>
      <c r="BF41" s="108"/>
      <c r="BG41" s="108"/>
      <c r="BH41" s="108"/>
      <c r="BI41" s="108"/>
      <c r="BJ41" s="108"/>
      <c r="BK41" s="108"/>
      <c r="BL41" s="108"/>
      <c r="BM41" s="108"/>
      <c r="BN41" s="108"/>
      <c r="BO41" s="108"/>
      <c r="BP41" s="108"/>
      <c r="BQ41" s="108"/>
      <c r="BR41" s="108"/>
      <c r="BS41" s="108"/>
      <c r="BT41" s="108"/>
      <c r="BU41" s="108"/>
      <c r="BV41" s="545">
        <f>SUM(BV35:BV40)</f>
        <v>33002</v>
      </c>
      <c r="BW41" s="108"/>
    </row>
    <row r="42" spans="1:74" s="106" customFormat="1" ht="12.75" hidden="1">
      <c r="A42" s="406" t="s">
        <v>437</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6">
        <v>-8295</v>
      </c>
      <c r="AT42" s="106">
        <v>6590</v>
      </c>
      <c r="AU42" s="300"/>
      <c r="AV42" s="106">
        <v>-1705</v>
      </c>
      <c r="AW42" s="300"/>
      <c r="AX42" s="108">
        <v>-11372</v>
      </c>
      <c r="AY42" s="108">
        <v>-13369</v>
      </c>
      <c r="AZ42" s="108">
        <v>-12628</v>
      </c>
      <c r="BA42" s="308"/>
      <c r="BB42" s="308"/>
      <c r="BC42" s="108"/>
      <c r="BE42" s="386"/>
      <c r="BF42" s="108"/>
      <c r="BG42" s="108"/>
      <c r="BH42" s="108"/>
      <c r="BI42" s="108"/>
      <c r="BL42" s="108"/>
      <c r="BM42" s="108"/>
      <c r="BN42" s="108"/>
      <c r="BO42" s="108"/>
      <c r="BP42" s="108"/>
      <c r="BQ42" s="108"/>
      <c r="BS42" s="108"/>
      <c r="BT42" s="108"/>
      <c r="BU42" s="108"/>
      <c r="BV42" s="108"/>
    </row>
    <row r="43" spans="1:75" ht="12.75">
      <c r="A43" s="104" t="s">
        <v>425</v>
      </c>
      <c r="B43" s="96">
        <v>3049</v>
      </c>
      <c r="C43" s="96">
        <v>-13835</v>
      </c>
      <c r="D43" s="96">
        <v>-7169</v>
      </c>
      <c r="E43" s="96">
        <v>14778</v>
      </c>
      <c r="F43" s="97">
        <v>-3177</v>
      </c>
      <c r="G43" s="96">
        <v>12186</v>
      </c>
      <c r="H43" s="96">
        <v>28975</v>
      </c>
      <c r="I43" s="96">
        <v>16821</v>
      </c>
      <c r="J43" s="96">
        <v>-813</v>
      </c>
      <c r="K43" s="97">
        <v>57169</v>
      </c>
      <c r="L43" s="96">
        <v>28147</v>
      </c>
      <c r="M43" s="96">
        <v>292</v>
      </c>
      <c r="N43" s="96">
        <v>28629</v>
      </c>
      <c r="O43" s="96">
        <v>26003</v>
      </c>
      <c r="P43" s="97">
        <v>83071</v>
      </c>
      <c r="Q43" s="96">
        <v>61821</v>
      </c>
      <c r="R43" s="96">
        <v>47684</v>
      </c>
      <c r="S43" s="96">
        <v>81643</v>
      </c>
      <c r="T43" s="96">
        <v>57623</v>
      </c>
      <c r="U43" s="97">
        <v>248771</v>
      </c>
      <c r="V43" s="96">
        <v>92420</v>
      </c>
      <c r="W43" s="96">
        <v>77425</v>
      </c>
      <c r="X43" s="96">
        <v>69861</v>
      </c>
      <c r="Y43" s="96">
        <v>64730</v>
      </c>
      <c r="Z43" s="97">
        <v>304436</v>
      </c>
      <c r="AA43" s="96">
        <f>AE43-AD43-AC43-AB43</f>
        <v>155167</v>
      </c>
      <c r="AB43" s="96">
        <v>102326</v>
      </c>
      <c r="AC43" s="96">
        <v>94754</v>
      </c>
      <c r="AD43" s="96">
        <v>42566</v>
      </c>
      <c r="AE43" s="97">
        <v>394813</v>
      </c>
      <c r="AF43" s="96">
        <v>75100</v>
      </c>
      <c r="AG43" s="96">
        <v>91538</v>
      </c>
      <c r="AH43" s="96">
        <v>95965</v>
      </c>
      <c r="AI43" s="96">
        <v>92902</v>
      </c>
      <c r="AJ43" s="97">
        <v>355505</v>
      </c>
      <c r="AK43" s="96">
        <v>67301</v>
      </c>
      <c r="AL43" s="96">
        <v>89093</v>
      </c>
      <c r="AM43" s="96">
        <v>36642</v>
      </c>
      <c r="AN43" s="96">
        <v>6376</v>
      </c>
      <c r="AO43" s="97">
        <v>199412</v>
      </c>
      <c r="AP43" s="96">
        <v>67409</v>
      </c>
      <c r="AQ43" s="96">
        <v>78846</v>
      </c>
      <c r="AR43" s="96">
        <v>32688</v>
      </c>
      <c r="AS43" s="96">
        <v>178943</v>
      </c>
      <c r="AT43" s="96">
        <v>62591</v>
      </c>
      <c r="AU43" s="294">
        <v>53436</v>
      </c>
      <c r="AV43" s="97">
        <v>241534</v>
      </c>
      <c r="AW43" s="291">
        <v>232379</v>
      </c>
      <c r="AX43" s="96">
        <v>48112</v>
      </c>
      <c r="AY43" s="96">
        <v>46161</v>
      </c>
      <c r="AZ43" s="96">
        <v>83458</v>
      </c>
      <c r="BA43" s="294">
        <v>83458</v>
      </c>
      <c r="BB43" s="294">
        <v>177731</v>
      </c>
      <c r="BC43" s="96">
        <v>62865</v>
      </c>
      <c r="BD43" s="97">
        <v>240596</v>
      </c>
      <c r="BE43" s="373">
        <v>48112</v>
      </c>
      <c r="BF43" s="96">
        <v>46161</v>
      </c>
      <c r="BG43" s="96">
        <v>83458</v>
      </c>
      <c r="BH43" s="96">
        <v>61326</v>
      </c>
      <c r="BI43" s="96">
        <v>62845</v>
      </c>
      <c r="BJ43" s="97">
        <v>239058</v>
      </c>
      <c r="BK43" s="97">
        <v>245478</v>
      </c>
      <c r="BL43" s="96">
        <v>109355.16641911012</v>
      </c>
      <c r="BM43" s="96">
        <v>78439</v>
      </c>
      <c r="BN43" s="96">
        <v>79629.83358088988</v>
      </c>
      <c r="BO43" s="96">
        <v>50767</v>
      </c>
      <c r="BP43" s="96">
        <v>52506</v>
      </c>
      <c r="BQ43" s="96">
        <v>11691</v>
      </c>
      <c r="BR43" s="97">
        <v>253182</v>
      </c>
      <c r="BS43" s="96">
        <v>83343</v>
      </c>
      <c r="BT43" s="96">
        <v>1064</v>
      </c>
      <c r="BU43" s="96">
        <v>103042</v>
      </c>
      <c r="BV43" s="96">
        <f>SUM(BV35:BV40)</f>
        <v>33002</v>
      </c>
      <c r="BW43" s="97">
        <f>SUM(BW35:BW40)</f>
        <v>220451</v>
      </c>
    </row>
    <row r="44" ht="14.25">
      <c r="A44" s="412" t="s">
        <v>532</v>
      </c>
    </row>
    <row r="45" ht="12.75">
      <c r="A45" s="128"/>
    </row>
    <row r="46" ht="12.75"/>
    <row r="47" spans="1:75" ht="25.5">
      <c r="A47" s="89" t="s">
        <v>531</v>
      </c>
      <c r="B47" s="90" t="s">
        <v>2</v>
      </c>
      <c r="C47" s="90" t="s">
        <v>3</v>
      </c>
      <c r="D47" s="90" t="s">
        <v>4</v>
      </c>
      <c r="E47" s="90" t="s">
        <v>5</v>
      </c>
      <c r="F47" s="90" t="s">
        <v>6</v>
      </c>
      <c r="G47" s="90" t="s">
        <v>12</v>
      </c>
      <c r="H47" s="90" t="s">
        <v>13</v>
      </c>
      <c r="I47" s="90" t="s">
        <v>14</v>
      </c>
      <c r="J47" s="90" t="s">
        <v>15</v>
      </c>
      <c r="K47" s="90" t="s">
        <v>16</v>
      </c>
      <c r="L47" s="90" t="s">
        <v>17</v>
      </c>
      <c r="M47" s="90" t="s">
        <v>18</v>
      </c>
      <c r="N47" s="90" t="s">
        <v>19</v>
      </c>
      <c r="O47" s="90" t="s">
        <v>20</v>
      </c>
      <c r="P47" s="90" t="s">
        <v>21</v>
      </c>
      <c r="Q47" s="90" t="s">
        <v>22</v>
      </c>
      <c r="R47" s="90" t="s">
        <v>23</v>
      </c>
      <c r="S47" s="90" t="s">
        <v>24</v>
      </c>
      <c r="T47" s="90" t="s">
        <v>25</v>
      </c>
      <c r="U47" s="90" t="s">
        <v>26</v>
      </c>
      <c r="V47" s="90" t="s">
        <v>27</v>
      </c>
      <c r="W47" s="90" t="s">
        <v>28</v>
      </c>
      <c r="X47" s="90" t="s">
        <v>29</v>
      </c>
      <c r="Y47" s="90" t="s">
        <v>30</v>
      </c>
      <c r="Z47" s="90" t="s">
        <v>31</v>
      </c>
      <c r="AA47" s="90" t="s">
        <v>32</v>
      </c>
      <c r="AB47" s="90" t="s">
        <v>33</v>
      </c>
      <c r="AC47" s="90" t="s">
        <v>34</v>
      </c>
      <c r="AD47" s="90" t="s">
        <v>271</v>
      </c>
      <c r="AE47" s="90" t="s">
        <v>272</v>
      </c>
      <c r="AF47" s="90" t="s">
        <v>274</v>
      </c>
      <c r="AG47" s="90" t="s">
        <v>276</v>
      </c>
      <c r="AH47" s="90" t="s">
        <v>278</v>
      </c>
      <c r="AI47" s="120" t="s">
        <v>280</v>
      </c>
      <c r="AJ47" s="120" t="s">
        <v>281</v>
      </c>
      <c r="AK47" s="120" t="s">
        <v>289</v>
      </c>
      <c r="AL47" s="120" t="s">
        <v>290</v>
      </c>
      <c r="AM47" s="120" t="s">
        <v>291</v>
      </c>
      <c r="AN47" s="120" t="s">
        <v>292</v>
      </c>
      <c r="AO47" s="120" t="s">
        <v>293</v>
      </c>
      <c r="AP47" s="120" t="s">
        <v>329</v>
      </c>
      <c r="AQ47" s="120" t="s">
        <v>330</v>
      </c>
      <c r="AR47" s="120" t="s">
        <v>331</v>
      </c>
      <c r="AS47" s="289" t="s">
        <v>490</v>
      </c>
      <c r="AT47" s="120" t="s">
        <v>332</v>
      </c>
      <c r="AU47" s="289" t="s">
        <v>477</v>
      </c>
      <c r="AV47" s="120" t="s">
        <v>333</v>
      </c>
      <c r="AW47" s="289" t="s">
        <v>463</v>
      </c>
      <c r="AX47" s="120" t="s">
        <v>448</v>
      </c>
      <c r="AY47" s="120" t="s">
        <v>451</v>
      </c>
      <c r="AZ47" s="120" t="s">
        <v>453</v>
      </c>
      <c r="BA47" s="289" t="s">
        <v>461</v>
      </c>
      <c r="BB47" s="289" t="s">
        <v>480</v>
      </c>
      <c r="BC47" s="120" t="s">
        <v>454</v>
      </c>
      <c r="BD47" s="120" t="s">
        <v>457</v>
      </c>
      <c r="BE47" s="342" t="s">
        <v>492</v>
      </c>
      <c r="BF47" s="7" t="s">
        <v>553</v>
      </c>
      <c r="BG47" s="7" t="s">
        <v>560</v>
      </c>
      <c r="BH47" s="7" t="s">
        <v>493</v>
      </c>
      <c r="BI47" s="7" t="s">
        <v>582</v>
      </c>
      <c r="BJ47" s="90" t="s">
        <v>494</v>
      </c>
      <c r="BK47" s="90" t="s">
        <v>573</v>
      </c>
      <c r="BL47" s="7" t="s">
        <v>495</v>
      </c>
      <c r="BM47" s="7" t="s">
        <v>554</v>
      </c>
      <c r="BN47" s="7" t="s">
        <v>611</v>
      </c>
      <c r="BO47" s="7" t="s">
        <v>561</v>
      </c>
      <c r="BP47" s="7" t="s">
        <v>572</v>
      </c>
      <c r="BQ47" s="7" t="s">
        <v>570</v>
      </c>
      <c r="BR47" s="120" t="s">
        <v>602</v>
      </c>
      <c r="BS47" s="7" t="s">
        <v>595</v>
      </c>
      <c r="BT47" s="7" t="s">
        <v>605</v>
      </c>
      <c r="BU47" s="7" t="s">
        <v>617</v>
      </c>
      <c r="BV47" s="7" t="s">
        <v>619</v>
      </c>
      <c r="BW47" s="120" t="s">
        <v>620</v>
      </c>
    </row>
    <row r="48" spans="1:75" ht="12.75">
      <c r="A48" s="125" t="s">
        <v>524</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7"/>
      <c r="AJ48" s="127"/>
      <c r="AK48" s="127"/>
      <c r="AL48" s="127"/>
      <c r="AM48" s="127"/>
      <c r="AN48" s="127"/>
      <c r="AO48" s="127"/>
      <c r="AP48" s="127"/>
      <c r="AQ48" s="127"/>
      <c r="AR48" s="127"/>
      <c r="AS48" s="127"/>
      <c r="AT48" s="127"/>
      <c r="AU48" s="303"/>
      <c r="AV48" s="127"/>
      <c r="AW48" s="303"/>
      <c r="AX48" s="127"/>
      <c r="AY48" s="127"/>
      <c r="AZ48" s="127"/>
      <c r="BA48" s="303"/>
      <c r="BB48" s="303"/>
      <c r="BC48" s="127"/>
      <c r="BD48" s="127"/>
      <c r="BE48" s="382"/>
      <c r="BF48" s="127"/>
      <c r="BG48" s="127"/>
      <c r="BH48" s="127"/>
      <c r="BI48" s="127"/>
      <c r="BJ48" s="127"/>
      <c r="BK48" s="127"/>
      <c r="BL48" s="127"/>
      <c r="BM48" s="127"/>
      <c r="BN48" s="127"/>
      <c r="BO48" s="127"/>
      <c r="BP48" s="127"/>
      <c r="BQ48" s="127"/>
      <c r="BR48" s="127"/>
      <c r="BS48" s="127"/>
      <c r="BT48" s="127"/>
      <c r="BU48" s="127"/>
      <c r="BV48" s="127"/>
      <c r="BW48" s="127"/>
    </row>
    <row r="49" spans="1:75" ht="12.75">
      <c r="A49" s="139" t="s">
        <v>518</v>
      </c>
      <c r="B49" s="88">
        <v>3882</v>
      </c>
      <c r="C49" s="88">
        <v>3834</v>
      </c>
      <c r="D49" s="88">
        <v>4896</v>
      </c>
      <c r="E49" s="88">
        <v>7335</v>
      </c>
      <c r="F49" s="93">
        <v>19947</v>
      </c>
      <c r="G49" s="88">
        <v>4087</v>
      </c>
      <c r="H49" s="88">
        <v>4555</v>
      </c>
      <c r="I49" s="88">
        <v>3799</v>
      </c>
      <c r="J49" s="88">
        <v>5335</v>
      </c>
      <c r="K49" s="93">
        <v>17776</v>
      </c>
      <c r="L49" s="88">
        <v>5853</v>
      </c>
      <c r="M49" s="88">
        <v>4578</v>
      </c>
      <c r="N49" s="88">
        <v>4927</v>
      </c>
      <c r="O49" s="88">
        <v>5690</v>
      </c>
      <c r="P49" s="93">
        <v>21048</v>
      </c>
      <c r="Q49" s="88">
        <v>5595</v>
      </c>
      <c r="R49" s="88">
        <v>5841</v>
      </c>
      <c r="S49" s="88">
        <v>5802</v>
      </c>
      <c r="T49" s="88">
        <v>5343</v>
      </c>
      <c r="U49" s="93">
        <v>22581</v>
      </c>
      <c r="V49" s="88">
        <v>6442</v>
      </c>
      <c r="W49" s="88">
        <v>6465</v>
      </c>
      <c r="X49" s="88">
        <v>5428</v>
      </c>
      <c r="Y49" s="88">
        <v>13315</v>
      </c>
      <c r="Z49" s="93">
        <v>31650</v>
      </c>
      <c r="AA49" s="88">
        <f aca="true" t="shared" si="2" ref="AA49:AA55">AE49-AD49-AC49-AB49</f>
        <v>7329</v>
      </c>
      <c r="AB49" s="88">
        <v>9207</v>
      </c>
      <c r="AC49" s="88">
        <v>7690</v>
      </c>
      <c r="AD49" s="88">
        <v>11888</v>
      </c>
      <c r="AE49" s="93">
        <v>36114</v>
      </c>
      <c r="AF49" s="88">
        <v>9817</v>
      </c>
      <c r="AG49" s="88">
        <v>6613</v>
      </c>
      <c r="AH49" s="88">
        <v>14008</v>
      </c>
      <c r="AI49" s="88">
        <v>9966</v>
      </c>
      <c r="AJ49" s="93">
        <v>40404</v>
      </c>
      <c r="AK49" s="88">
        <v>7180</v>
      </c>
      <c r="AL49" s="88">
        <v>6601</v>
      </c>
      <c r="AM49" s="88">
        <v>10509</v>
      </c>
      <c r="AN49" s="88">
        <v>12486</v>
      </c>
      <c r="AO49" s="93">
        <v>36776</v>
      </c>
      <c r="AP49" s="88">
        <v>10301</v>
      </c>
      <c r="AQ49" s="88">
        <v>12917</v>
      </c>
      <c r="AR49" s="88">
        <v>21269</v>
      </c>
      <c r="AS49" s="88">
        <v>44594</v>
      </c>
      <c r="AT49" s="88">
        <v>26724</v>
      </c>
      <c r="AU49" s="100">
        <v>22942</v>
      </c>
      <c r="AV49" s="93">
        <v>71211</v>
      </c>
      <c r="AW49" s="101">
        <v>67536</v>
      </c>
      <c r="AX49" s="88">
        <v>34312</v>
      </c>
      <c r="AY49" s="88">
        <v>27652</v>
      </c>
      <c r="AZ49" s="88">
        <v>28999</v>
      </c>
      <c r="BA49" s="100">
        <v>28999</v>
      </c>
      <c r="BB49" s="100">
        <v>90963</v>
      </c>
      <c r="BC49" s="88">
        <v>36566</v>
      </c>
      <c r="BD49" s="93">
        <v>127529</v>
      </c>
      <c r="BE49" s="372">
        <v>34312</v>
      </c>
      <c r="BF49" s="88">
        <v>27652</v>
      </c>
      <c r="BG49" s="88">
        <v>28998</v>
      </c>
      <c r="BH49" s="88">
        <v>36676</v>
      </c>
      <c r="BI49" s="88">
        <v>36677</v>
      </c>
      <c r="BJ49" s="93">
        <v>127639</v>
      </c>
      <c r="BK49" s="93">
        <v>127639</v>
      </c>
      <c r="BL49" s="88">
        <v>31672</v>
      </c>
      <c r="BM49" s="88">
        <v>40689</v>
      </c>
      <c r="BN49" s="88">
        <v>40689</v>
      </c>
      <c r="BO49" s="88">
        <v>39855</v>
      </c>
      <c r="BP49" s="88">
        <v>39855</v>
      </c>
      <c r="BQ49" s="88">
        <v>42038</v>
      </c>
      <c r="BR49" s="93">
        <v>154254</v>
      </c>
      <c r="BS49" s="88">
        <v>33046</v>
      </c>
      <c r="BT49" s="88">
        <v>34670</v>
      </c>
      <c r="BU49" s="88">
        <v>27330</v>
      </c>
      <c r="BV49" s="232">
        <v>52123</v>
      </c>
      <c r="BW49" s="473">
        <v>147169</v>
      </c>
    </row>
    <row r="50" spans="1:75" ht="12" customHeight="1">
      <c r="A50" s="139" t="s">
        <v>517</v>
      </c>
      <c r="B50" s="88">
        <v>6332</v>
      </c>
      <c r="C50" s="88">
        <v>6501</v>
      </c>
      <c r="D50" s="88">
        <v>6522</v>
      </c>
      <c r="E50" s="88">
        <v>7092</v>
      </c>
      <c r="F50" s="93">
        <v>26447</v>
      </c>
      <c r="G50" s="88">
        <v>6574</v>
      </c>
      <c r="H50" s="88">
        <v>6721</v>
      </c>
      <c r="I50" s="88">
        <v>6819</v>
      </c>
      <c r="J50" s="88">
        <v>7070</v>
      </c>
      <c r="K50" s="93">
        <v>27184</v>
      </c>
      <c r="L50" s="88">
        <v>6436</v>
      </c>
      <c r="M50" s="88">
        <v>11087</v>
      </c>
      <c r="N50" s="88">
        <v>11378</v>
      </c>
      <c r="O50" s="88">
        <v>12129</v>
      </c>
      <c r="P50" s="93">
        <v>41030</v>
      </c>
      <c r="Q50" s="88">
        <v>11761</v>
      </c>
      <c r="R50" s="88">
        <v>13154</v>
      </c>
      <c r="S50" s="88">
        <v>11800</v>
      </c>
      <c r="T50" s="88">
        <v>19458</v>
      </c>
      <c r="U50" s="93">
        <v>56173</v>
      </c>
      <c r="V50" s="88">
        <v>12895</v>
      </c>
      <c r="W50" s="88">
        <v>14490</v>
      </c>
      <c r="X50" s="88">
        <v>13734</v>
      </c>
      <c r="Y50" s="88">
        <v>20288</v>
      </c>
      <c r="Z50" s="93">
        <v>61407</v>
      </c>
      <c r="AA50" s="88">
        <f t="shared" si="2"/>
        <v>16095</v>
      </c>
      <c r="AB50" s="88">
        <v>15408</v>
      </c>
      <c r="AC50" s="88">
        <v>15868</v>
      </c>
      <c r="AD50" s="88">
        <v>14825</v>
      </c>
      <c r="AE50" s="93">
        <v>62196</v>
      </c>
      <c r="AF50" s="88">
        <v>15559</v>
      </c>
      <c r="AG50" s="88">
        <v>16047</v>
      </c>
      <c r="AH50" s="88">
        <v>15784</v>
      </c>
      <c r="AI50" s="88">
        <v>15819</v>
      </c>
      <c r="AJ50" s="93">
        <v>63209</v>
      </c>
      <c r="AK50" s="88">
        <v>17697</v>
      </c>
      <c r="AL50" s="88">
        <v>17302</v>
      </c>
      <c r="AM50" s="88">
        <v>18346</v>
      </c>
      <c r="AN50" s="88">
        <v>21266</v>
      </c>
      <c r="AO50" s="93">
        <v>74611</v>
      </c>
      <c r="AP50" s="88">
        <v>19875</v>
      </c>
      <c r="AQ50" s="88">
        <v>21909</v>
      </c>
      <c r="AR50" s="88">
        <v>24004</v>
      </c>
      <c r="AS50" s="88">
        <v>66002</v>
      </c>
      <c r="AT50" s="88">
        <v>29328</v>
      </c>
      <c r="AU50" s="100">
        <v>27492</v>
      </c>
      <c r="AV50" s="93">
        <v>95116</v>
      </c>
      <c r="AW50" s="101">
        <v>93494</v>
      </c>
      <c r="AX50" s="88">
        <v>23618</v>
      </c>
      <c r="AY50" s="88">
        <v>23911</v>
      </c>
      <c r="AZ50" s="88">
        <v>24965</v>
      </c>
      <c r="BA50" s="100">
        <v>24965</v>
      </c>
      <c r="BB50" s="100">
        <v>72494</v>
      </c>
      <c r="BC50" s="88">
        <v>26263</v>
      </c>
      <c r="BD50" s="93">
        <v>98757</v>
      </c>
      <c r="BE50" s="372">
        <v>28255</v>
      </c>
      <c r="BF50" s="88">
        <v>28581</v>
      </c>
      <c r="BG50" s="88">
        <v>29780</v>
      </c>
      <c r="BH50" s="88">
        <v>31336</v>
      </c>
      <c r="BI50" s="88">
        <v>31704</v>
      </c>
      <c r="BJ50" s="93">
        <v>117952</v>
      </c>
      <c r="BK50" s="93">
        <v>119443</v>
      </c>
      <c r="BL50" s="88">
        <v>27682</v>
      </c>
      <c r="BM50" s="88">
        <v>28123</v>
      </c>
      <c r="BN50" s="88">
        <v>33960</v>
      </c>
      <c r="BO50" s="88">
        <v>28354</v>
      </c>
      <c r="BP50" s="88">
        <v>29161</v>
      </c>
      <c r="BQ50" s="88">
        <v>69236</v>
      </c>
      <c r="BR50" s="93">
        <v>160019</v>
      </c>
      <c r="BS50" s="88">
        <v>31841</v>
      </c>
      <c r="BT50" s="88">
        <v>31373</v>
      </c>
      <c r="BU50" s="88">
        <v>31806</v>
      </c>
      <c r="BV50" s="232">
        <v>41129</v>
      </c>
      <c r="BW50" s="473">
        <v>136149</v>
      </c>
    </row>
    <row r="51" spans="1:75" ht="14.25" customHeight="1">
      <c r="A51" s="139" t="s">
        <v>516</v>
      </c>
      <c r="B51" s="88">
        <v>2744</v>
      </c>
      <c r="C51" s="88">
        <v>2553</v>
      </c>
      <c r="D51" s="88">
        <v>2892</v>
      </c>
      <c r="E51" s="88">
        <v>4904</v>
      </c>
      <c r="F51" s="93">
        <v>13093</v>
      </c>
      <c r="G51" s="88">
        <v>2675</v>
      </c>
      <c r="H51" s="88">
        <v>2693</v>
      </c>
      <c r="I51" s="88">
        <v>2726</v>
      </c>
      <c r="J51" s="88">
        <v>3176</v>
      </c>
      <c r="K51" s="93">
        <v>11270</v>
      </c>
      <c r="L51" s="88">
        <v>2990</v>
      </c>
      <c r="M51" s="88">
        <v>2682</v>
      </c>
      <c r="N51" s="88">
        <v>2540</v>
      </c>
      <c r="O51" s="88">
        <v>2715</v>
      </c>
      <c r="P51" s="93">
        <v>10927</v>
      </c>
      <c r="Q51" s="88">
        <v>2294</v>
      </c>
      <c r="R51" s="88">
        <v>607</v>
      </c>
      <c r="S51" s="88">
        <v>1360</v>
      </c>
      <c r="T51" s="88">
        <v>2333</v>
      </c>
      <c r="U51" s="93">
        <v>6594</v>
      </c>
      <c r="V51" s="88">
        <v>1533</v>
      </c>
      <c r="W51" s="88">
        <v>1568</v>
      </c>
      <c r="X51" s="88">
        <v>1648</v>
      </c>
      <c r="Y51" s="88">
        <v>2096</v>
      </c>
      <c r="Z51" s="93">
        <v>6845</v>
      </c>
      <c r="AA51" s="88">
        <f t="shared" si="2"/>
        <v>1968</v>
      </c>
      <c r="AB51" s="88">
        <v>1339</v>
      </c>
      <c r="AC51" s="88">
        <v>1634</v>
      </c>
      <c r="AD51" s="88">
        <v>1806</v>
      </c>
      <c r="AE51" s="93">
        <v>6747</v>
      </c>
      <c r="AF51" s="88">
        <v>1651</v>
      </c>
      <c r="AG51" s="88">
        <v>1749</v>
      </c>
      <c r="AH51" s="88">
        <v>1707</v>
      </c>
      <c r="AI51" s="88">
        <v>2335</v>
      </c>
      <c r="AJ51" s="93">
        <v>7442</v>
      </c>
      <c r="AK51" s="88">
        <v>2117</v>
      </c>
      <c r="AL51" s="88">
        <v>2203</v>
      </c>
      <c r="AM51" s="88">
        <v>2491</v>
      </c>
      <c r="AN51" s="88">
        <v>3074</v>
      </c>
      <c r="AO51" s="93">
        <v>9885</v>
      </c>
      <c r="AP51" s="88">
        <v>2499</v>
      </c>
      <c r="AQ51" s="88">
        <v>2594</v>
      </c>
      <c r="AR51" s="88">
        <v>2762</v>
      </c>
      <c r="AS51" s="88">
        <v>9190</v>
      </c>
      <c r="AT51" s="88">
        <v>5097</v>
      </c>
      <c r="AU51" s="100">
        <v>6501</v>
      </c>
      <c r="AV51" s="93">
        <v>12952</v>
      </c>
      <c r="AW51" s="101">
        <v>15691</v>
      </c>
      <c r="AX51" s="88">
        <v>4936</v>
      </c>
      <c r="AY51" s="88">
        <v>5423</v>
      </c>
      <c r="AZ51" s="88">
        <v>4847</v>
      </c>
      <c r="BA51" s="100">
        <v>4847</v>
      </c>
      <c r="BB51" s="100">
        <v>15206</v>
      </c>
      <c r="BC51" s="88">
        <v>4649</v>
      </c>
      <c r="BD51" s="93">
        <v>19855</v>
      </c>
      <c r="BE51" s="372">
        <v>4548</v>
      </c>
      <c r="BF51" s="88">
        <v>5174</v>
      </c>
      <c r="BG51" s="88">
        <v>4600</v>
      </c>
      <c r="BH51" s="88">
        <v>4571</v>
      </c>
      <c r="BI51" s="88">
        <v>4571</v>
      </c>
      <c r="BJ51" s="93">
        <v>18893</v>
      </c>
      <c r="BK51" s="93">
        <v>18893</v>
      </c>
      <c r="BL51" s="88">
        <v>4626</v>
      </c>
      <c r="BM51" s="88">
        <v>4323</v>
      </c>
      <c r="BN51" s="88">
        <v>4323</v>
      </c>
      <c r="BO51" s="88">
        <v>4451</v>
      </c>
      <c r="BP51" s="88">
        <v>4451</v>
      </c>
      <c r="BQ51" s="88">
        <v>6539</v>
      </c>
      <c r="BR51" s="93">
        <v>19939</v>
      </c>
      <c r="BS51" s="88">
        <v>5332</v>
      </c>
      <c r="BT51" s="88">
        <v>5418</v>
      </c>
      <c r="BU51" s="88">
        <v>5286</v>
      </c>
      <c r="BV51" s="232">
        <v>6298</v>
      </c>
      <c r="BW51" s="473">
        <v>22334</v>
      </c>
    </row>
    <row r="52" spans="1:73" s="106" customFormat="1" ht="12.75" hidden="1">
      <c r="A52" s="406" t="s">
        <v>62</v>
      </c>
      <c r="B52" s="106">
        <v>3376</v>
      </c>
      <c r="C52" s="106">
        <v>2209</v>
      </c>
      <c r="D52" s="106">
        <v>2663</v>
      </c>
      <c r="E52" s="106">
        <v>2297</v>
      </c>
      <c r="F52" s="106">
        <v>10545</v>
      </c>
      <c r="G52" s="106">
        <v>2306</v>
      </c>
      <c r="H52" s="106">
        <v>1961</v>
      </c>
      <c r="I52" s="106">
        <v>2310</v>
      </c>
      <c r="J52" s="106">
        <v>2462</v>
      </c>
      <c r="K52" s="106">
        <v>9039</v>
      </c>
      <c r="L52" s="106">
        <v>2178</v>
      </c>
      <c r="M52" s="106">
        <v>2809</v>
      </c>
      <c r="N52" s="106">
        <v>3229</v>
      </c>
      <c r="O52" s="106">
        <v>4999</v>
      </c>
      <c r="P52" s="106">
        <v>13215</v>
      </c>
      <c r="Q52" s="106">
        <v>2800</v>
      </c>
      <c r="R52" s="106">
        <v>2949</v>
      </c>
      <c r="S52" s="106">
        <v>2979</v>
      </c>
      <c r="T52" s="106">
        <v>3564</v>
      </c>
      <c r="U52" s="106">
        <v>12292</v>
      </c>
      <c r="V52" s="106">
        <v>3358</v>
      </c>
      <c r="W52" s="106">
        <v>3738</v>
      </c>
      <c r="X52" s="106">
        <v>3951</v>
      </c>
      <c r="Y52" s="106">
        <v>2970</v>
      </c>
      <c r="Z52" s="106">
        <v>14017</v>
      </c>
      <c r="AA52" s="106">
        <f t="shared" si="2"/>
        <v>4408</v>
      </c>
      <c r="AB52" s="106">
        <v>4527</v>
      </c>
      <c r="AC52" s="106">
        <v>4605</v>
      </c>
      <c r="AD52" s="106">
        <v>4947</v>
      </c>
      <c r="AE52" s="106">
        <v>18487</v>
      </c>
      <c r="AF52" s="106">
        <v>4595</v>
      </c>
      <c r="AG52" s="106">
        <v>4902</v>
      </c>
      <c r="AH52" s="106">
        <v>4755</v>
      </c>
      <c r="AI52" s="106">
        <v>5150</v>
      </c>
      <c r="AJ52" s="106">
        <v>19402</v>
      </c>
      <c r="AK52" s="106">
        <v>4776</v>
      </c>
      <c r="AL52" s="106">
        <v>5529</v>
      </c>
      <c r="AM52" s="106">
        <v>4537</v>
      </c>
      <c r="AN52" s="106">
        <v>4833</v>
      </c>
      <c r="AO52" s="106">
        <v>19675</v>
      </c>
      <c r="AP52" s="106">
        <v>4727</v>
      </c>
      <c r="AQ52" s="106">
        <v>4697</v>
      </c>
      <c r="AR52" s="106">
        <v>4740</v>
      </c>
      <c r="AS52" s="106">
        <v>14175</v>
      </c>
      <c r="AT52" s="106">
        <v>4129</v>
      </c>
      <c r="AU52" s="300">
        <v>4133</v>
      </c>
      <c r="AV52" s="106">
        <v>18293</v>
      </c>
      <c r="AW52" s="300">
        <v>18308</v>
      </c>
      <c r="AX52" s="106">
        <v>4249</v>
      </c>
      <c r="AY52" s="106">
        <v>4421</v>
      </c>
      <c r="AZ52" s="106">
        <v>4568</v>
      </c>
      <c r="BA52" s="300">
        <v>4568</v>
      </c>
      <c r="BB52" s="300">
        <v>13238</v>
      </c>
      <c r="BC52" s="106">
        <v>4617</v>
      </c>
      <c r="BD52" s="106">
        <v>17855</v>
      </c>
      <c r="BE52" s="378"/>
      <c r="BF52" s="106">
        <v>0</v>
      </c>
      <c r="BG52" s="106">
        <v>0</v>
      </c>
      <c r="BM52" s="106">
        <v>0</v>
      </c>
      <c r="BO52" s="106">
        <v>0</v>
      </c>
      <c r="BU52" s="106">
        <v>0</v>
      </c>
    </row>
    <row r="53" spans="1:75" ht="12.75">
      <c r="A53" s="124" t="s">
        <v>195</v>
      </c>
      <c r="B53" s="88">
        <v>1251</v>
      </c>
      <c r="C53" s="88">
        <v>1347</v>
      </c>
      <c r="D53" s="88">
        <v>1269</v>
      </c>
      <c r="E53" s="88">
        <v>1427</v>
      </c>
      <c r="F53" s="93">
        <v>5294</v>
      </c>
      <c r="G53" s="88">
        <v>684</v>
      </c>
      <c r="H53" s="88">
        <v>819</v>
      </c>
      <c r="I53" s="88">
        <v>871</v>
      </c>
      <c r="J53" s="88">
        <v>3965</v>
      </c>
      <c r="K53" s="93">
        <v>6339</v>
      </c>
      <c r="L53" s="88">
        <v>2720</v>
      </c>
      <c r="M53" s="88">
        <v>1761</v>
      </c>
      <c r="N53" s="88">
        <v>2062</v>
      </c>
      <c r="O53" s="88">
        <v>2687</v>
      </c>
      <c r="P53" s="93">
        <v>9230</v>
      </c>
      <c r="Q53" s="88">
        <v>2339</v>
      </c>
      <c r="R53" s="88">
        <v>2432</v>
      </c>
      <c r="S53" s="88">
        <v>2797</v>
      </c>
      <c r="T53" s="88">
        <v>3351</v>
      </c>
      <c r="U53" s="93">
        <v>10919</v>
      </c>
      <c r="V53" s="88">
        <v>2659</v>
      </c>
      <c r="W53" s="88">
        <v>2935</v>
      </c>
      <c r="X53" s="88">
        <v>1740</v>
      </c>
      <c r="Y53" s="88">
        <v>2247</v>
      </c>
      <c r="Z53" s="93">
        <v>9581</v>
      </c>
      <c r="AA53" s="88">
        <f t="shared" si="2"/>
        <v>2053</v>
      </c>
      <c r="AB53" s="88">
        <v>2121</v>
      </c>
      <c r="AC53" s="88">
        <v>2572</v>
      </c>
      <c r="AD53" s="88">
        <v>2537</v>
      </c>
      <c r="AE53" s="93">
        <v>9283</v>
      </c>
      <c r="AF53" s="88">
        <v>2456</v>
      </c>
      <c r="AG53" s="88">
        <v>2725</v>
      </c>
      <c r="AH53" s="88">
        <v>2562</v>
      </c>
      <c r="AI53" s="88">
        <v>2338</v>
      </c>
      <c r="AJ53" s="93">
        <v>10081</v>
      </c>
      <c r="AK53" s="88">
        <v>2553</v>
      </c>
      <c r="AL53" s="88">
        <v>2517</v>
      </c>
      <c r="AM53" s="88">
        <v>2630</v>
      </c>
      <c r="AN53" s="88">
        <v>3281</v>
      </c>
      <c r="AO53" s="93">
        <v>10981</v>
      </c>
      <c r="AP53" s="88">
        <v>2821</v>
      </c>
      <c r="AQ53" s="88">
        <v>3063</v>
      </c>
      <c r="AR53" s="88">
        <v>4354</v>
      </c>
      <c r="AS53" s="88">
        <v>10305</v>
      </c>
      <c r="AT53" s="88">
        <v>5337</v>
      </c>
      <c r="AU53" s="100">
        <v>4922</v>
      </c>
      <c r="AV53" s="93">
        <v>15575</v>
      </c>
      <c r="AW53" s="101">
        <v>15227</v>
      </c>
      <c r="AX53" s="88">
        <v>4395</v>
      </c>
      <c r="AY53" s="88">
        <v>4352</v>
      </c>
      <c r="AZ53" s="88">
        <v>4426</v>
      </c>
      <c r="BA53" s="100">
        <v>4426</v>
      </c>
      <c r="BB53" s="100">
        <v>13173</v>
      </c>
      <c r="BC53" s="88">
        <v>4849</v>
      </c>
      <c r="BD53" s="93">
        <v>18022</v>
      </c>
      <c r="BE53" s="372">
        <v>4395</v>
      </c>
      <c r="BF53" s="88">
        <v>4352</v>
      </c>
      <c r="BG53" s="88">
        <v>4426</v>
      </c>
      <c r="BH53" s="88">
        <v>4865</v>
      </c>
      <c r="BI53" s="88">
        <v>4865</v>
      </c>
      <c r="BJ53" s="93">
        <v>18038</v>
      </c>
      <c r="BK53" s="93">
        <v>18038</v>
      </c>
      <c r="BL53" s="88">
        <v>4405</v>
      </c>
      <c r="BM53" s="88">
        <v>4226</v>
      </c>
      <c r="BN53" s="88">
        <v>4226</v>
      </c>
      <c r="BO53" s="88">
        <v>4109</v>
      </c>
      <c r="BP53" s="88">
        <v>4109</v>
      </c>
      <c r="BQ53" s="88">
        <v>4998</v>
      </c>
      <c r="BR53" s="93">
        <v>17738</v>
      </c>
      <c r="BS53" s="88">
        <v>4374</v>
      </c>
      <c r="BT53" s="88">
        <v>3555</v>
      </c>
      <c r="BU53" s="88">
        <v>6725</v>
      </c>
      <c r="BV53" s="232">
        <v>255</v>
      </c>
      <c r="BW53" s="473">
        <v>14909</v>
      </c>
    </row>
    <row r="54" spans="1:75" ht="12.75">
      <c r="A54" s="124" t="s">
        <v>449</v>
      </c>
      <c r="B54" s="88"/>
      <c r="C54" s="88"/>
      <c r="D54" s="88"/>
      <c r="E54" s="88"/>
      <c r="F54" s="93"/>
      <c r="G54" s="88"/>
      <c r="H54" s="88"/>
      <c r="I54" s="88"/>
      <c r="J54" s="88"/>
      <c r="K54" s="93"/>
      <c r="L54" s="88"/>
      <c r="M54" s="88"/>
      <c r="N54" s="88"/>
      <c r="O54" s="88"/>
      <c r="P54" s="93"/>
      <c r="Q54" s="88"/>
      <c r="R54" s="88"/>
      <c r="S54" s="88"/>
      <c r="T54" s="88"/>
      <c r="U54" s="93"/>
      <c r="V54" s="88"/>
      <c r="W54" s="88"/>
      <c r="X54" s="88"/>
      <c r="Y54" s="88"/>
      <c r="Z54" s="93"/>
      <c r="AA54" s="88"/>
      <c r="AB54" s="88"/>
      <c r="AC54" s="88"/>
      <c r="AD54" s="88"/>
      <c r="AE54" s="93"/>
      <c r="AF54" s="88"/>
      <c r="AG54" s="88"/>
      <c r="AH54" s="88"/>
      <c r="AI54" s="88"/>
      <c r="AJ54" s="93"/>
      <c r="AK54" s="88"/>
      <c r="AL54" s="88"/>
      <c r="AM54" s="88"/>
      <c r="AN54" s="88"/>
      <c r="AO54" s="93"/>
      <c r="AP54" s="88"/>
      <c r="AQ54" s="88"/>
      <c r="AR54" s="88"/>
      <c r="AS54" s="88">
        <v>-1734</v>
      </c>
      <c r="AT54" s="88"/>
      <c r="AU54" s="100">
        <v>-1382</v>
      </c>
      <c r="AV54" s="93"/>
      <c r="AW54" s="101">
        <v>-3116</v>
      </c>
      <c r="AX54" s="88">
        <v>-824</v>
      </c>
      <c r="AY54" s="88">
        <v>-1342</v>
      </c>
      <c r="AZ54" s="88">
        <v>-625</v>
      </c>
      <c r="BA54" s="100">
        <v>-625</v>
      </c>
      <c r="BB54" s="100">
        <v>-2791</v>
      </c>
      <c r="BC54" s="88">
        <v>-662</v>
      </c>
      <c r="BD54" s="93">
        <v>-3453</v>
      </c>
      <c r="BE54" s="372">
        <v>-824</v>
      </c>
      <c r="BF54" s="88">
        <v>-1342</v>
      </c>
      <c r="BG54" s="88">
        <v>-624</v>
      </c>
      <c r="BH54" s="88">
        <v>-662</v>
      </c>
      <c r="BI54" s="88">
        <v>-663</v>
      </c>
      <c r="BJ54" s="93">
        <v>-3453</v>
      </c>
      <c r="BK54" s="93">
        <v>-3453</v>
      </c>
      <c r="BL54" s="88">
        <v>-471</v>
      </c>
      <c r="BM54" s="88">
        <v>-531</v>
      </c>
      <c r="BN54" s="88">
        <v>-531</v>
      </c>
      <c r="BO54" s="88">
        <v>-542</v>
      </c>
      <c r="BP54" s="88">
        <v>-542</v>
      </c>
      <c r="BQ54" s="88">
        <v>-566</v>
      </c>
      <c r="BR54" s="93">
        <v>-2110</v>
      </c>
      <c r="BS54" s="88">
        <v>-541</v>
      </c>
      <c r="BT54" s="88">
        <v>-536</v>
      </c>
      <c r="BU54" s="88">
        <v>-522</v>
      </c>
      <c r="BV54" s="232">
        <v>-522</v>
      </c>
      <c r="BW54" s="473">
        <v>-2121</v>
      </c>
    </row>
    <row r="55" spans="1:57" s="108" customFormat="1" ht="12.75" hidden="1">
      <c r="A55" s="409" t="s">
        <v>427</v>
      </c>
      <c r="B55" s="108">
        <v>17585</v>
      </c>
      <c r="C55" s="108">
        <v>16444</v>
      </c>
      <c r="D55" s="108">
        <v>18242</v>
      </c>
      <c r="E55" s="108">
        <v>23055</v>
      </c>
      <c r="F55" s="108">
        <v>75326</v>
      </c>
      <c r="G55" s="108">
        <v>16326</v>
      </c>
      <c r="H55" s="108">
        <v>16749</v>
      </c>
      <c r="I55" s="108">
        <v>16525</v>
      </c>
      <c r="J55" s="108">
        <v>22008</v>
      </c>
      <c r="K55" s="108">
        <v>71608</v>
      </c>
      <c r="L55" s="108">
        <v>20177</v>
      </c>
      <c r="M55" s="108">
        <v>22917</v>
      </c>
      <c r="N55" s="108">
        <v>24136</v>
      </c>
      <c r="O55" s="108">
        <v>28220</v>
      </c>
      <c r="P55" s="108">
        <v>95450</v>
      </c>
      <c r="Q55" s="108">
        <v>24789</v>
      </c>
      <c r="R55" s="108">
        <v>24983</v>
      </c>
      <c r="S55" s="108">
        <v>24738</v>
      </c>
      <c r="T55" s="108">
        <v>34049</v>
      </c>
      <c r="U55" s="108">
        <v>108559</v>
      </c>
      <c r="V55" s="108">
        <v>26887</v>
      </c>
      <c r="W55" s="108">
        <v>29196</v>
      </c>
      <c r="X55" s="108">
        <v>26501</v>
      </c>
      <c r="Y55" s="108">
        <v>40916</v>
      </c>
      <c r="Z55" s="108">
        <v>123500</v>
      </c>
      <c r="AA55" s="108">
        <f t="shared" si="2"/>
        <v>31853</v>
      </c>
      <c r="AB55" s="108">
        <v>32602</v>
      </c>
      <c r="AC55" s="108">
        <v>32369</v>
      </c>
      <c r="AD55" s="108">
        <v>36003</v>
      </c>
      <c r="AE55" s="108">
        <v>132827</v>
      </c>
      <c r="AF55" s="108">
        <v>34078</v>
      </c>
      <c r="AG55" s="108">
        <v>32036</v>
      </c>
      <c r="AH55" s="108">
        <v>38816</v>
      </c>
      <c r="AI55" s="108">
        <v>35608</v>
      </c>
      <c r="AJ55" s="108">
        <v>140538</v>
      </c>
      <c r="AK55" s="108">
        <v>34323</v>
      </c>
      <c r="AL55" s="108">
        <f>SUM(AL49:AL53)</f>
        <v>34152</v>
      </c>
      <c r="AM55" s="108">
        <v>38513</v>
      </c>
      <c r="AN55" s="108">
        <v>44940</v>
      </c>
      <c r="AO55" s="108">
        <v>151928</v>
      </c>
      <c r="AP55" s="108">
        <v>40223</v>
      </c>
      <c r="AQ55" s="108">
        <v>45180</v>
      </c>
      <c r="AR55" s="108">
        <v>57129</v>
      </c>
      <c r="AT55" s="108">
        <v>70615</v>
      </c>
      <c r="AU55" s="308"/>
      <c r="AV55" s="108">
        <v>213147</v>
      </c>
      <c r="AW55" s="308"/>
      <c r="AX55" s="108">
        <v>70686</v>
      </c>
      <c r="AY55" s="108">
        <v>64417</v>
      </c>
      <c r="AZ55" s="108">
        <v>67180</v>
      </c>
      <c r="BA55" s="308"/>
      <c r="BB55" s="308"/>
      <c r="BE55" s="386"/>
    </row>
    <row r="56" spans="1:75" s="108" customFormat="1" ht="12.75" hidden="1">
      <c r="A56" s="406" t="s">
        <v>437</v>
      </c>
      <c r="AR56" s="170" t="s">
        <v>296</v>
      </c>
      <c r="AS56" s="170"/>
      <c r="AT56" s="106" t="s">
        <v>296</v>
      </c>
      <c r="AU56" s="300"/>
      <c r="AV56" s="106" t="s">
        <v>296</v>
      </c>
      <c r="AW56" s="300" t="s">
        <v>296</v>
      </c>
      <c r="AX56" s="108">
        <v>0</v>
      </c>
      <c r="AY56" s="108">
        <v>0</v>
      </c>
      <c r="AZ56" s="108">
        <v>0</v>
      </c>
      <c r="BA56" s="308"/>
      <c r="BB56" s="308"/>
      <c r="BD56" s="106"/>
      <c r="BE56" s="386"/>
      <c r="BJ56" s="106"/>
      <c r="BK56" s="106"/>
      <c r="BR56" s="106"/>
      <c r="BW56" s="106"/>
    </row>
    <row r="57" spans="1:75" s="116" customFormat="1" ht="11.25" customHeight="1">
      <c r="A57" s="104" t="s">
        <v>426</v>
      </c>
      <c r="B57" s="96">
        <v>17585</v>
      </c>
      <c r="C57" s="96">
        <v>16444</v>
      </c>
      <c r="D57" s="96">
        <v>18242</v>
      </c>
      <c r="E57" s="96">
        <v>23055</v>
      </c>
      <c r="F57" s="97">
        <v>75326</v>
      </c>
      <c r="G57" s="96">
        <v>16326</v>
      </c>
      <c r="H57" s="96">
        <v>16749</v>
      </c>
      <c r="I57" s="96">
        <v>16525</v>
      </c>
      <c r="J57" s="96">
        <v>22008</v>
      </c>
      <c r="K57" s="97">
        <v>71608</v>
      </c>
      <c r="L57" s="96">
        <v>20177</v>
      </c>
      <c r="M57" s="96">
        <v>22917</v>
      </c>
      <c r="N57" s="96">
        <v>24136</v>
      </c>
      <c r="O57" s="96">
        <v>28220</v>
      </c>
      <c r="P57" s="97">
        <v>95450</v>
      </c>
      <c r="Q57" s="96">
        <v>24789</v>
      </c>
      <c r="R57" s="96">
        <v>24983</v>
      </c>
      <c r="S57" s="96">
        <v>24738</v>
      </c>
      <c r="T57" s="96">
        <v>34049</v>
      </c>
      <c r="U57" s="97">
        <v>108559</v>
      </c>
      <c r="V57" s="96">
        <v>26887</v>
      </c>
      <c r="W57" s="96">
        <v>29196</v>
      </c>
      <c r="X57" s="96">
        <v>26501</v>
      </c>
      <c r="Y57" s="96">
        <v>40916</v>
      </c>
      <c r="Z57" s="97">
        <v>123500</v>
      </c>
      <c r="AA57" s="96">
        <f>AE57-AD57-AC57-AB57</f>
        <v>31853</v>
      </c>
      <c r="AB57" s="96">
        <v>32602</v>
      </c>
      <c r="AC57" s="96">
        <v>32369</v>
      </c>
      <c r="AD57" s="96">
        <v>36003</v>
      </c>
      <c r="AE57" s="97">
        <v>132827</v>
      </c>
      <c r="AF57" s="96">
        <v>34078</v>
      </c>
      <c r="AG57" s="96">
        <v>32036</v>
      </c>
      <c r="AH57" s="96">
        <v>38816</v>
      </c>
      <c r="AI57" s="96">
        <v>35608</v>
      </c>
      <c r="AJ57" s="97">
        <v>140538</v>
      </c>
      <c r="AK57" s="96">
        <v>34323</v>
      </c>
      <c r="AL57" s="96">
        <f>SUM(AL51:AL56)</f>
        <v>44401</v>
      </c>
      <c r="AM57" s="96">
        <v>38513</v>
      </c>
      <c r="AN57" s="96">
        <v>44940</v>
      </c>
      <c r="AO57" s="97">
        <v>151928</v>
      </c>
      <c r="AP57" s="96">
        <v>40223</v>
      </c>
      <c r="AQ57" s="96">
        <v>45180</v>
      </c>
      <c r="AR57" s="96">
        <v>57129</v>
      </c>
      <c r="AS57" s="96">
        <v>142532</v>
      </c>
      <c r="AT57" s="96">
        <v>70615</v>
      </c>
      <c r="AU57" s="294">
        <v>64608</v>
      </c>
      <c r="AV57" s="97">
        <v>213147</v>
      </c>
      <c r="AW57" s="291">
        <v>207140</v>
      </c>
      <c r="AX57" s="96">
        <v>70686</v>
      </c>
      <c r="AY57" s="96">
        <v>64417</v>
      </c>
      <c r="AZ57" s="96">
        <v>67180</v>
      </c>
      <c r="BA57" s="294">
        <v>67180</v>
      </c>
      <c r="BB57" s="294">
        <v>202283</v>
      </c>
      <c r="BC57" s="96">
        <v>76282</v>
      </c>
      <c r="BD57" s="97">
        <v>278565</v>
      </c>
      <c r="BE57" s="373">
        <v>70686</v>
      </c>
      <c r="BF57" s="96">
        <v>64417</v>
      </c>
      <c r="BG57" s="96">
        <v>67180</v>
      </c>
      <c r="BH57" s="96">
        <v>76786</v>
      </c>
      <c r="BI57" s="96">
        <v>77154</v>
      </c>
      <c r="BJ57" s="97">
        <v>279069</v>
      </c>
      <c r="BK57" s="97">
        <v>280560</v>
      </c>
      <c r="BL57" s="96">
        <v>67914</v>
      </c>
      <c r="BM57" s="96">
        <v>76830</v>
      </c>
      <c r="BN57" s="96">
        <v>82667</v>
      </c>
      <c r="BO57" s="96">
        <v>76227</v>
      </c>
      <c r="BP57" s="96">
        <v>77034</v>
      </c>
      <c r="BQ57" s="96">
        <v>122245</v>
      </c>
      <c r="BR57" s="97">
        <v>349840</v>
      </c>
      <c r="BS57" s="96">
        <v>74052</v>
      </c>
      <c r="BT57" s="96">
        <v>74480</v>
      </c>
      <c r="BU57" s="96">
        <v>70625</v>
      </c>
      <c r="BV57" s="96">
        <f>SUM(BV49:BV54)</f>
        <v>99283</v>
      </c>
      <c r="BW57" s="97">
        <f>SUM(BW49:BW54)</f>
        <v>318440</v>
      </c>
    </row>
    <row r="58" spans="1:74" ht="12.75">
      <c r="A58" s="125"/>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P58" s="116"/>
      <c r="AQ58" s="116"/>
      <c r="AX58" s="116"/>
      <c r="AY58" s="116"/>
      <c r="AZ58" s="116"/>
      <c r="BA58" s="302"/>
      <c r="BB58" s="302"/>
      <c r="BC58" s="116"/>
      <c r="BE58" s="381"/>
      <c r="BF58" s="116"/>
      <c r="BG58" s="116"/>
      <c r="BH58" s="116"/>
      <c r="BI58" s="116"/>
      <c r="BL58" s="116"/>
      <c r="BM58" s="116"/>
      <c r="BN58" s="116"/>
      <c r="BO58" s="116"/>
      <c r="BP58" s="116"/>
      <c r="BQ58" s="116"/>
      <c r="BS58" s="116"/>
      <c r="BT58" s="116"/>
      <c r="BU58" s="116"/>
      <c r="BV58" s="116"/>
    </row>
    <row r="59" ht="12" customHeight="1"/>
    <row r="60" spans="1:75" ht="25.5">
      <c r="A60" s="89" t="s">
        <v>8</v>
      </c>
      <c r="B60" s="90" t="s">
        <v>2</v>
      </c>
      <c r="C60" s="90" t="s">
        <v>3</v>
      </c>
      <c r="D60" s="90" t="s">
        <v>4</v>
      </c>
      <c r="E60" s="90" t="s">
        <v>5</v>
      </c>
      <c r="F60" s="90" t="s">
        <v>6</v>
      </c>
      <c r="G60" s="90" t="s">
        <v>12</v>
      </c>
      <c r="H60" s="90" t="s">
        <v>13</v>
      </c>
      <c r="I60" s="90" t="s">
        <v>14</v>
      </c>
      <c r="J60" s="90" t="s">
        <v>15</v>
      </c>
      <c r="K60" s="90" t="s">
        <v>16</v>
      </c>
      <c r="L60" s="90" t="s">
        <v>17</v>
      </c>
      <c r="M60" s="90" t="s">
        <v>18</v>
      </c>
      <c r="N60" s="90" t="s">
        <v>19</v>
      </c>
      <c r="O60" s="90" t="s">
        <v>20</v>
      </c>
      <c r="P60" s="90" t="s">
        <v>21</v>
      </c>
      <c r="Q60" s="90" t="s">
        <v>22</v>
      </c>
      <c r="R60" s="90" t="s">
        <v>23</v>
      </c>
      <c r="S60" s="90" t="s">
        <v>24</v>
      </c>
      <c r="T60" s="90" t="s">
        <v>25</v>
      </c>
      <c r="U60" s="90" t="s">
        <v>26</v>
      </c>
      <c r="V60" s="90" t="s">
        <v>27</v>
      </c>
      <c r="W60" s="90" t="s">
        <v>28</v>
      </c>
      <c r="X60" s="90" t="s">
        <v>29</v>
      </c>
      <c r="Y60" s="90" t="s">
        <v>30</v>
      </c>
      <c r="Z60" s="90" t="s">
        <v>31</v>
      </c>
      <c r="AA60" s="90" t="s">
        <v>32</v>
      </c>
      <c r="AB60" s="90" t="s">
        <v>33</v>
      </c>
      <c r="AC60" s="90" t="s">
        <v>34</v>
      </c>
      <c r="AD60" s="90" t="s">
        <v>271</v>
      </c>
      <c r="AE60" s="90" t="s">
        <v>272</v>
      </c>
      <c r="AF60" s="90" t="s">
        <v>274</v>
      </c>
      <c r="AG60" s="90" t="s">
        <v>276</v>
      </c>
      <c r="AH60" s="90" t="s">
        <v>278</v>
      </c>
      <c r="AI60" s="120" t="s">
        <v>280</v>
      </c>
      <c r="AJ60" s="120" t="s">
        <v>281</v>
      </c>
      <c r="AK60" s="120" t="s">
        <v>289</v>
      </c>
      <c r="AL60" s="120" t="s">
        <v>290</v>
      </c>
      <c r="AM60" s="120" t="s">
        <v>291</v>
      </c>
      <c r="AN60" s="120" t="s">
        <v>292</v>
      </c>
      <c r="AO60" s="120" t="s">
        <v>293</v>
      </c>
      <c r="AP60" s="120" t="s">
        <v>329</v>
      </c>
      <c r="AQ60" s="120" t="s">
        <v>330</v>
      </c>
      <c r="AR60" s="120" t="s">
        <v>331</v>
      </c>
      <c r="AS60" s="289" t="s">
        <v>490</v>
      </c>
      <c r="AT60" s="120" t="s">
        <v>332</v>
      </c>
      <c r="AU60" s="289" t="s">
        <v>477</v>
      </c>
      <c r="AV60" s="120" t="s">
        <v>333</v>
      </c>
      <c r="AW60" s="289" t="s">
        <v>463</v>
      </c>
      <c r="AX60" s="120" t="s">
        <v>448</v>
      </c>
      <c r="AY60" s="120" t="s">
        <v>451</v>
      </c>
      <c r="AZ60" s="120" t="s">
        <v>453</v>
      </c>
      <c r="BA60" s="289" t="s">
        <v>461</v>
      </c>
      <c r="BB60" s="289" t="s">
        <v>480</v>
      </c>
      <c r="BC60" s="120" t="s">
        <v>454</v>
      </c>
      <c r="BD60" s="120" t="s">
        <v>457</v>
      </c>
      <c r="BE60" s="342" t="s">
        <v>492</v>
      </c>
      <c r="BF60" s="7" t="s">
        <v>553</v>
      </c>
      <c r="BG60" s="7" t="s">
        <v>560</v>
      </c>
      <c r="BH60" s="7" t="s">
        <v>493</v>
      </c>
      <c r="BI60" s="7" t="s">
        <v>582</v>
      </c>
      <c r="BJ60" s="90" t="s">
        <v>494</v>
      </c>
      <c r="BK60" s="90" t="s">
        <v>573</v>
      </c>
      <c r="BL60" s="7" t="s">
        <v>495</v>
      </c>
      <c r="BM60" s="7" t="s">
        <v>554</v>
      </c>
      <c r="BN60" s="7" t="s">
        <v>611</v>
      </c>
      <c r="BO60" s="7" t="s">
        <v>561</v>
      </c>
      <c r="BP60" s="7" t="s">
        <v>572</v>
      </c>
      <c r="BQ60" s="7" t="s">
        <v>570</v>
      </c>
      <c r="BR60" s="120" t="s">
        <v>602</v>
      </c>
      <c r="BS60" s="7" t="s">
        <v>595</v>
      </c>
      <c r="BT60" s="7" t="s">
        <v>605</v>
      </c>
      <c r="BU60" s="7" t="s">
        <v>617</v>
      </c>
      <c r="BV60" s="7" t="s">
        <v>619</v>
      </c>
      <c r="BW60" s="120" t="s">
        <v>620</v>
      </c>
    </row>
    <row r="61" spans="1:75" ht="12.75">
      <c r="A61" s="125" t="s">
        <v>524</v>
      </c>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7"/>
      <c r="AJ61" s="127"/>
      <c r="AK61" s="127"/>
      <c r="AL61" s="127"/>
      <c r="AM61" s="127"/>
      <c r="AN61" s="127"/>
      <c r="AO61" s="127"/>
      <c r="AP61" s="127"/>
      <c r="AQ61" s="127"/>
      <c r="AR61" s="127"/>
      <c r="AS61" s="127"/>
      <c r="AT61" s="88"/>
      <c r="AU61" s="100"/>
      <c r="AV61" s="127"/>
      <c r="AW61" s="303"/>
      <c r="AX61" s="127"/>
      <c r="AY61" s="127"/>
      <c r="AZ61" s="127"/>
      <c r="BA61" s="303"/>
      <c r="BB61" s="303"/>
      <c r="BC61" s="127"/>
      <c r="BD61" s="127"/>
      <c r="BE61" s="382"/>
      <c r="BF61" s="127"/>
      <c r="BG61" s="127"/>
      <c r="BH61" s="127"/>
      <c r="BI61" s="127"/>
      <c r="BJ61" s="127"/>
      <c r="BK61" s="127"/>
      <c r="BL61" s="127"/>
      <c r="BM61" s="127"/>
      <c r="BN61" s="127"/>
      <c r="BO61" s="127"/>
      <c r="BP61" s="127"/>
      <c r="BQ61" s="127"/>
      <c r="BR61" s="127"/>
      <c r="BS61" s="127"/>
      <c r="BT61" s="127"/>
      <c r="BU61" s="127"/>
      <c r="BV61" s="127"/>
      <c r="BW61" s="127"/>
    </row>
    <row r="62" spans="1:75" ht="12.75">
      <c r="A62" s="139" t="s">
        <v>518</v>
      </c>
      <c r="B62" s="88">
        <v>26352</v>
      </c>
      <c r="C62" s="88">
        <v>21135</v>
      </c>
      <c r="D62" s="88">
        <v>17969</v>
      </c>
      <c r="E62" s="88">
        <v>21655</v>
      </c>
      <c r="F62" s="93">
        <v>87111</v>
      </c>
      <c r="G62" s="88">
        <v>20715</v>
      </c>
      <c r="H62" s="88">
        <v>16601</v>
      </c>
      <c r="I62" s="88">
        <v>14386</v>
      </c>
      <c r="J62" s="88">
        <v>17429</v>
      </c>
      <c r="K62" s="93">
        <v>69131</v>
      </c>
      <c r="L62" s="88">
        <v>23816</v>
      </c>
      <c r="M62" s="88">
        <v>15771</v>
      </c>
      <c r="N62" s="88">
        <v>13131</v>
      </c>
      <c r="O62" s="88">
        <v>11824</v>
      </c>
      <c r="P62" s="93">
        <v>64542</v>
      </c>
      <c r="Q62" s="88">
        <v>17554</v>
      </c>
      <c r="R62" s="88">
        <v>18692</v>
      </c>
      <c r="S62" s="88">
        <v>24717</v>
      </c>
      <c r="T62" s="88">
        <v>15785</v>
      </c>
      <c r="U62" s="93">
        <v>76748</v>
      </c>
      <c r="V62" s="88">
        <v>23436</v>
      </c>
      <c r="W62" s="88">
        <v>30589</v>
      </c>
      <c r="X62" s="88">
        <v>38262</v>
      </c>
      <c r="Y62" s="88">
        <v>44737</v>
      </c>
      <c r="Z62" s="93">
        <v>137024</v>
      </c>
      <c r="AA62" s="88">
        <f>AE62-AD62-AC62-AB62</f>
        <v>45585</v>
      </c>
      <c r="AB62" s="88">
        <v>41681</v>
      </c>
      <c r="AC62" s="88">
        <v>42583</v>
      </c>
      <c r="AD62" s="88">
        <v>26705</v>
      </c>
      <c r="AE62" s="93">
        <v>156554</v>
      </c>
      <c r="AF62" s="88">
        <v>26865</v>
      </c>
      <c r="AG62" s="88">
        <v>30151</v>
      </c>
      <c r="AH62" s="88">
        <v>34143</v>
      </c>
      <c r="AI62" s="88">
        <v>28109</v>
      </c>
      <c r="AJ62" s="93">
        <v>119268</v>
      </c>
      <c r="AK62" s="88">
        <v>96375</v>
      </c>
      <c r="AL62" s="88">
        <v>37160</v>
      </c>
      <c r="AM62" s="88">
        <v>43415</v>
      </c>
      <c r="AN62" s="88">
        <v>50960</v>
      </c>
      <c r="AO62" s="93">
        <v>227910</v>
      </c>
      <c r="AP62" s="88">
        <v>56337</v>
      </c>
      <c r="AQ62" s="88">
        <v>28095</v>
      </c>
      <c r="AR62" s="88">
        <v>56386</v>
      </c>
      <c r="AS62" s="88">
        <v>132630</v>
      </c>
      <c r="AT62" s="88">
        <v>66336</v>
      </c>
      <c r="AU62" s="100">
        <v>71628</v>
      </c>
      <c r="AV62" s="93">
        <v>207154</v>
      </c>
      <c r="AW62" s="101">
        <v>204258</v>
      </c>
      <c r="AX62" s="88">
        <v>86523</v>
      </c>
      <c r="AY62" s="88">
        <v>65969</v>
      </c>
      <c r="AZ62" s="88">
        <v>110320</v>
      </c>
      <c r="BA62" s="100">
        <v>97692</v>
      </c>
      <c r="BB62" s="100">
        <v>225443</v>
      </c>
      <c r="BC62" s="88">
        <v>110847</v>
      </c>
      <c r="BD62" s="93">
        <v>336290</v>
      </c>
      <c r="BE62" s="372">
        <v>88466</v>
      </c>
      <c r="BF62" s="88">
        <v>63540</v>
      </c>
      <c r="BG62" s="88">
        <v>104475</v>
      </c>
      <c r="BH62" s="88">
        <v>107676</v>
      </c>
      <c r="BI62" s="88">
        <v>107677</v>
      </c>
      <c r="BJ62" s="93">
        <v>364158</v>
      </c>
      <c r="BK62" s="93">
        <v>364158</v>
      </c>
      <c r="BL62" s="88">
        <v>115439</v>
      </c>
      <c r="BM62" s="88">
        <v>114481</v>
      </c>
      <c r="BN62" s="88">
        <v>114481</v>
      </c>
      <c r="BO62" s="88">
        <v>116652</v>
      </c>
      <c r="BP62" s="88">
        <v>116652</v>
      </c>
      <c r="BQ62" s="88">
        <v>129321</v>
      </c>
      <c r="BR62" s="93">
        <v>475893</v>
      </c>
      <c r="BS62" s="88">
        <v>99526</v>
      </c>
      <c r="BT62" s="88">
        <v>94513</v>
      </c>
      <c r="BU62" s="88">
        <v>99018</v>
      </c>
      <c r="BV62" s="232">
        <v>108474</v>
      </c>
      <c r="BW62" s="473">
        <v>401531</v>
      </c>
    </row>
    <row r="63" spans="1:75" ht="12.75">
      <c r="A63" s="139" t="s">
        <v>517</v>
      </c>
      <c r="B63" s="88">
        <v>22218</v>
      </c>
      <c r="C63" s="88">
        <v>25826</v>
      </c>
      <c r="D63" s="88">
        <v>24587</v>
      </c>
      <c r="E63" s="88">
        <v>23952</v>
      </c>
      <c r="F63" s="93">
        <v>96583</v>
      </c>
      <c r="G63" s="88">
        <v>9997</v>
      </c>
      <c r="H63" s="88">
        <v>27801</v>
      </c>
      <c r="I63" s="88">
        <v>18345</v>
      </c>
      <c r="J63" s="88">
        <v>8391</v>
      </c>
      <c r="K63" s="93">
        <v>64534</v>
      </c>
      <c r="L63" s="88">
        <v>19919</v>
      </c>
      <c r="M63" s="88">
        <v>23269</v>
      </c>
      <c r="N63" s="88">
        <v>32782</v>
      </c>
      <c r="O63" s="88">
        <v>32694</v>
      </c>
      <c r="P63" s="93">
        <v>108664</v>
      </c>
      <c r="Q63" s="88">
        <v>35395</v>
      </c>
      <c r="R63" s="88">
        <v>45334</v>
      </c>
      <c r="S63" s="88">
        <v>70847</v>
      </c>
      <c r="T63" s="88">
        <v>63499</v>
      </c>
      <c r="U63" s="93">
        <v>215075</v>
      </c>
      <c r="V63" s="88">
        <v>50578</v>
      </c>
      <c r="W63" s="88">
        <v>64669</v>
      </c>
      <c r="X63" s="88">
        <v>64432</v>
      </c>
      <c r="Y63" s="88">
        <v>58715</v>
      </c>
      <c r="Z63" s="93">
        <v>238394</v>
      </c>
      <c r="AA63" s="88">
        <f aca="true" t="shared" si="3" ref="AA63:AA68">AE63-AD63-AC63-AB63</f>
        <v>40330</v>
      </c>
      <c r="AB63" s="88">
        <v>84487</v>
      </c>
      <c r="AC63" s="88">
        <v>74565</v>
      </c>
      <c r="AD63" s="88">
        <v>31842</v>
      </c>
      <c r="AE63" s="93">
        <v>231224</v>
      </c>
      <c r="AF63" s="88">
        <v>43911</v>
      </c>
      <c r="AG63" s="88">
        <v>74577</v>
      </c>
      <c r="AH63" s="88">
        <v>63004</v>
      </c>
      <c r="AI63" s="88">
        <v>53652</v>
      </c>
      <c r="AJ63" s="93">
        <v>235144</v>
      </c>
      <c r="AK63" s="88">
        <v>57846</v>
      </c>
      <c r="AL63" s="88">
        <v>86259</v>
      </c>
      <c r="AM63" s="88">
        <v>22885</v>
      </c>
      <c r="AN63" s="88">
        <v>-20007</v>
      </c>
      <c r="AO63" s="93">
        <v>146983</v>
      </c>
      <c r="AP63" s="88">
        <v>24551</v>
      </c>
      <c r="AQ63" s="88">
        <v>63198</v>
      </c>
      <c r="AR63" s="88">
        <v>22346</v>
      </c>
      <c r="AS63" s="88">
        <v>110309</v>
      </c>
      <c r="AT63" s="88">
        <v>3015</v>
      </c>
      <c r="AU63" s="100">
        <v>-1341</v>
      </c>
      <c r="AV63" s="93">
        <v>113110</v>
      </c>
      <c r="AW63" s="101">
        <v>108968</v>
      </c>
      <c r="AX63" s="88">
        <v>20630</v>
      </c>
      <c r="AY63" s="88">
        <v>44735</v>
      </c>
      <c r="AZ63" s="88">
        <v>44837</v>
      </c>
      <c r="BA63" s="100">
        <v>44837</v>
      </c>
      <c r="BB63" s="100">
        <v>110202</v>
      </c>
      <c r="BC63" s="88">
        <v>29569</v>
      </c>
      <c r="BD63" s="93">
        <v>139771</v>
      </c>
      <c r="BE63" s="372">
        <v>24201</v>
      </c>
      <c r="BF63" s="88">
        <v>42014</v>
      </c>
      <c r="BG63" s="88">
        <v>61814</v>
      </c>
      <c r="BH63" s="88">
        <v>21509</v>
      </c>
      <c r="BI63" s="88">
        <v>21877</v>
      </c>
      <c r="BJ63" s="93">
        <v>149538</v>
      </c>
      <c r="BK63" s="93">
        <v>151029</v>
      </c>
      <c r="BL63" s="88">
        <v>59801</v>
      </c>
      <c r="BM63" s="88">
        <v>33484</v>
      </c>
      <c r="BN63" s="88">
        <v>39342</v>
      </c>
      <c r="BO63" s="88">
        <v>4100.072</v>
      </c>
      <c r="BP63" s="88">
        <v>4928</v>
      </c>
      <c r="BQ63" s="88">
        <v>-18262</v>
      </c>
      <c r="BR63" s="93">
        <v>85789</v>
      </c>
      <c r="BS63" s="88">
        <v>47191</v>
      </c>
      <c r="BT63" s="88">
        <v>-12649</v>
      </c>
      <c r="BU63" s="88">
        <v>75906</v>
      </c>
      <c r="BV63" s="232">
        <v>29510</v>
      </c>
      <c r="BW63" s="473">
        <v>139958</v>
      </c>
    </row>
    <row r="64" spans="1:75" ht="12.75">
      <c r="A64" s="139" t="s">
        <v>516</v>
      </c>
      <c r="B64" s="88">
        <v>-38697</v>
      </c>
      <c r="C64" s="88">
        <v>-36363</v>
      </c>
      <c r="D64" s="88">
        <v>-21810</v>
      </c>
      <c r="E64" s="88">
        <v>-12207</v>
      </c>
      <c r="F64" s="93">
        <v>-109077</v>
      </c>
      <c r="G64" s="88">
        <v>-3994</v>
      </c>
      <c r="H64" s="88">
        <v>5580</v>
      </c>
      <c r="I64" s="88">
        <v>7438</v>
      </c>
      <c r="J64" s="88">
        <v>2441</v>
      </c>
      <c r="K64" s="93">
        <v>11465</v>
      </c>
      <c r="L64" s="88">
        <v>667</v>
      </c>
      <c r="M64" s="88">
        <v>-6970</v>
      </c>
      <c r="N64" s="88">
        <v>18225</v>
      </c>
      <c r="O64" s="88">
        <v>6532</v>
      </c>
      <c r="P64" s="93">
        <v>18454</v>
      </c>
      <c r="Q64" s="88">
        <v>23224</v>
      </c>
      <c r="R64" s="88">
        <v>13677</v>
      </c>
      <c r="S64" s="88">
        <v>14247</v>
      </c>
      <c r="T64" s="88">
        <v>20287</v>
      </c>
      <c r="U64" s="93">
        <v>71435</v>
      </c>
      <c r="V64" s="88">
        <v>32004</v>
      </c>
      <c r="W64" s="88">
        <v>13558</v>
      </c>
      <c r="X64" s="88">
        <v>11482</v>
      </c>
      <c r="Y64" s="88">
        <v>216</v>
      </c>
      <c r="Z64" s="93">
        <v>57260</v>
      </c>
      <c r="AA64" s="88">
        <f t="shared" si="3"/>
        <v>88141</v>
      </c>
      <c r="AB64" s="88">
        <v>11023</v>
      </c>
      <c r="AC64" s="88">
        <v>7101</v>
      </c>
      <c r="AD64" s="88">
        <v>10102</v>
      </c>
      <c r="AE64" s="93">
        <v>116367</v>
      </c>
      <c r="AF64" s="88">
        <v>14467</v>
      </c>
      <c r="AG64" s="88">
        <v>10069</v>
      </c>
      <c r="AH64" s="88">
        <v>10208</v>
      </c>
      <c r="AI64" s="88">
        <v>11441</v>
      </c>
      <c r="AJ64" s="93">
        <v>46185</v>
      </c>
      <c r="AK64" s="88">
        <v>13370</v>
      </c>
      <c r="AL64" s="88">
        <v>10799</v>
      </c>
      <c r="AM64" s="88">
        <v>10432</v>
      </c>
      <c r="AN64" s="88">
        <v>13760</v>
      </c>
      <c r="AO64" s="93">
        <v>48361</v>
      </c>
      <c r="AP64" s="88">
        <v>20715</v>
      </c>
      <c r="AQ64" s="88">
        <v>14182</v>
      </c>
      <c r="AR64" s="88">
        <v>19395</v>
      </c>
      <c r="AS64" s="88">
        <v>55627</v>
      </c>
      <c r="AT64" s="88">
        <v>21145</v>
      </c>
      <c r="AU64" s="100">
        <v>21966</v>
      </c>
      <c r="AV64" s="93">
        <v>75437</v>
      </c>
      <c r="AW64" s="101">
        <v>77593</v>
      </c>
      <c r="AX64" s="88">
        <v>30223</v>
      </c>
      <c r="AY64" s="88">
        <v>26077</v>
      </c>
      <c r="AZ64" s="88">
        <v>10405</v>
      </c>
      <c r="BA64" s="100">
        <v>10405</v>
      </c>
      <c r="BB64" s="100">
        <v>66705</v>
      </c>
      <c r="BC64" s="88">
        <v>20399</v>
      </c>
      <c r="BD64" s="93">
        <v>87104</v>
      </c>
      <c r="BE64" s="372">
        <v>17117</v>
      </c>
      <c r="BF64" s="88">
        <v>22520</v>
      </c>
      <c r="BG64" s="88">
        <v>9198</v>
      </c>
      <c r="BH64" s="88">
        <v>17850</v>
      </c>
      <c r="BI64" s="88">
        <v>17971</v>
      </c>
      <c r="BJ64" s="93">
        <v>66685</v>
      </c>
      <c r="BK64" s="93">
        <v>67280</v>
      </c>
      <c r="BL64" s="88">
        <v>23230.816839</v>
      </c>
      <c r="BM64" s="88">
        <v>18865</v>
      </c>
      <c r="BN64" s="88">
        <v>19023.183161</v>
      </c>
      <c r="BO64" s="88">
        <v>20356</v>
      </c>
      <c r="BP64" s="88">
        <v>20433</v>
      </c>
      <c r="BQ64" s="88">
        <v>19157</v>
      </c>
      <c r="BR64" s="93">
        <v>81844</v>
      </c>
      <c r="BS64" s="88">
        <v>17690</v>
      </c>
      <c r="BT64" s="88">
        <v>13455</v>
      </c>
      <c r="BU64" s="88">
        <v>17893</v>
      </c>
      <c r="BV64" s="232">
        <v>9104</v>
      </c>
      <c r="BW64" s="473">
        <v>58142</v>
      </c>
    </row>
    <row r="65" spans="1:73" s="106" customFormat="1" ht="12.75" hidden="1">
      <c r="A65" s="406" t="s">
        <v>62</v>
      </c>
      <c r="B65" s="106">
        <v>6288</v>
      </c>
      <c r="C65" s="106">
        <v>353</v>
      </c>
      <c r="D65" s="106">
        <v>4339</v>
      </c>
      <c r="E65" s="106">
        <v>4550</v>
      </c>
      <c r="F65" s="106">
        <v>15530</v>
      </c>
      <c r="G65" s="106">
        <v>2544</v>
      </c>
      <c r="H65" s="106">
        <v>4905</v>
      </c>
      <c r="I65" s="106">
        <v>5628</v>
      </c>
      <c r="J65" s="106">
        <v>-930</v>
      </c>
      <c r="K65" s="106">
        <v>12147</v>
      </c>
      <c r="L65" s="106">
        <v>3445</v>
      </c>
      <c r="M65" s="106">
        <v>6363</v>
      </c>
      <c r="N65" s="106">
        <v>-1523</v>
      </c>
      <c r="O65" s="106">
        <v>6217</v>
      </c>
      <c r="P65" s="106">
        <v>14502</v>
      </c>
      <c r="Q65" s="106">
        <v>6556</v>
      </c>
      <c r="R65" s="106">
        <v>6325</v>
      </c>
      <c r="S65" s="106">
        <v>6878</v>
      </c>
      <c r="T65" s="106">
        <v>11334</v>
      </c>
      <c r="U65" s="106">
        <v>31093</v>
      </c>
      <c r="V65" s="106">
        <v>12991</v>
      </c>
      <c r="W65" s="106">
        <v>7422</v>
      </c>
      <c r="X65" s="106">
        <v>4117</v>
      </c>
      <c r="Y65" s="106">
        <v>8601</v>
      </c>
      <c r="Z65" s="106">
        <v>33131</v>
      </c>
      <c r="AA65" s="106">
        <f t="shared" si="3"/>
        <v>8061</v>
      </c>
      <c r="AB65" s="106">
        <v>8446</v>
      </c>
      <c r="AC65" s="106">
        <v>10068</v>
      </c>
      <c r="AD65" s="106">
        <v>15197</v>
      </c>
      <c r="AE65" s="106">
        <v>41772</v>
      </c>
      <c r="AF65" s="106">
        <v>17225</v>
      </c>
      <c r="AG65" s="106">
        <v>17090</v>
      </c>
      <c r="AH65" s="106">
        <v>16695</v>
      </c>
      <c r="AI65" s="106">
        <v>9284</v>
      </c>
      <c r="AJ65" s="106">
        <v>60294</v>
      </c>
      <c r="AK65" s="106">
        <v>7414</v>
      </c>
      <c r="AL65" s="106">
        <v>-8214</v>
      </c>
      <c r="AM65" s="106">
        <v>4347</v>
      </c>
      <c r="AN65" s="106">
        <v>8585</v>
      </c>
      <c r="AO65" s="106">
        <v>12132</v>
      </c>
      <c r="AP65" s="106">
        <v>1016</v>
      </c>
      <c r="AQ65" s="106">
        <v>-4638</v>
      </c>
      <c r="AR65" s="106">
        <v>6117</v>
      </c>
      <c r="AS65" s="106">
        <v>2506</v>
      </c>
      <c r="AT65" s="106">
        <v>547</v>
      </c>
      <c r="AU65" s="300">
        <v>583</v>
      </c>
      <c r="AV65" s="106">
        <v>3042</v>
      </c>
      <c r="AW65" s="300">
        <v>3089</v>
      </c>
      <c r="AX65" s="106">
        <v>2079</v>
      </c>
      <c r="AY65" s="106">
        <v>5997</v>
      </c>
      <c r="AZ65" s="106">
        <v>10614</v>
      </c>
      <c r="BA65" s="300">
        <v>10614</v>
      </c>
      <c r="BB65" s="300">
        <v>18690</v>
      </c>
      <c r="BC65" s="106">
        <v>397</v>
      </c>
      <c r="BD65" s="106">
        <v>19087</v>
      </c>
      <c r="BE65" s="378"/>
      <c r="BF65" s="106">
        <v>0</v>
      </c>
      <c r="BG65" s="106">
        <v>0</v>
      </c>
      <c r="BM65" s="106">
        <v>0</v>
      </c>
      <c r="BO65" s="106">
        <v>0</v>
      </c>
      <c r="BU65" s="106">
        <v>0</v>
      </c>
    </row>
    <row r="66" spans="1:75" ht="12.75">
      <c r="A66" s="124" t="s">
        <v>195</v>
      </c>
      <c r="B66" s="88">
        <v>-1483</v>
      </c>
      <c r="C66" s="88">
        <v>-4294</v>
      </c>
      <c r="D66" s="88">
        <v>-6238</v>
      </c>
      <c r="E66" s="88">
        <v>-7548</v>
      </c>
      <c r="F66" s="93">
        <v>-19563</v>
      </c>
      <c r="G66" s="88">
        <v>-4296</v>
      </c>
      <c r="H66" s="88">
        <v>-5619</v>
      </c>
      <c r="I66" s="88">
        <v>-7077</v>
      </c>
      <c r="J66" s="88">
        <v>-11818</v>
      </c>
      <c r="K66" s="93">
        <v>-28810</v>
      </c>
      <c r="L66" s="88">
        <v>-2873</v>
      </c>
      <c r="M66" s="88">
        <v>-9838</v>
      </c>
      <c r="N66" s="88">
        <v>-6829</v>
      </c>
      <c r="O66" s="88">
        <v>-6595</v>
      </c>
      <c r="P66" s="93">
        <v>-26135</v>
      </c>
      <c r="Q66" s="88">
        <v>-3283</v>
      </c>
      <c r="R66" s="88">
        <v>-8019</v>
      </c>
      <c r="S66" s="88">
        <v>-5650</v>
      </c>
      <c r="T66" s="88">
        <v>-24106</v>
      </c>
      <c r="U66" s="93">
        <v>-41058</v>
      </c>
      <c r="V66" s="88">
        <v>-9986</v>
      </c>
      <c r="W66" s="88">
        <v>-5059</v>
      </c>
      <c r="X66" s="88">
        <v>-10971</v>
      </c>
      <c r="Y66" s="88">
        <v>-6191</v>
      </c>
      <c r="Z66" s="93">
        <v>-32207</v>
      </c>
      <c r="AA66" s="88">
        <f t="shared" si="3"/>
        <v>-9441</v>
      </c>
      <c r="AB66" s="88">
        <v>-11805</v>
      </c>
      <c r="AC66" s="88">
        <v>-7415</v>
      </c>
      <c r="AD66" s="88">
        <v>-7146</v>
      </c>
      <c r="AE66" s="93">
        <v>-35807</v>
      </c>
      <c r="AF66" s="88">
        <v>8131</v>
      </c>
      <c r="AG66" s="88">
        <v>-6414</v>
      </c>
      <c r="AH66" s="88">
        <v>11307</v>
      </c>
      <c r="AI66" s="88">
        <v>23503</v>
      </c>
      <c r="AJ66" s="93">
        <v>36527</v>
      </c>
      <c r="AK66" s="88">
        <v>-6592</v>
      </c>
      <c r="AL66" s="88">
        <v>-2588</v>
      </c>
      <c r="AM66" s="88">
        <v>-11698</v>
      </c>
      <c r="AN66" s="88">
        <v>-6394</v>
      </c>
      <c r="AO66" s="93">
        <v>-27272</v>
      </c>
      <c r="AP66" s="88">
        <v>11338</v>
      </c>
      <c r="AQ66" s="88">
        <v>13837</v>
      </c>
      <c r="AR66" s="88">
        <v>-8841</v>
      </c>
      <c r="AS66" s="88">
        <v>16401</v>
      </c>
      <c r="AT66" s="88">
        <v>35871</v>
      </c>
      <c r="AU66" s="100">
        <v>26826</v>
      </c>
      <c r="AV66" s="93">
        <v>52205</v>
      </c>
      <c r="AW66" s="101">
        <v>43227</v>
      </c>
      <c r="AX66" s="88">
        <v>-7561</v>
      </c>
      <c r="AY66" s="88">
        <v>-17965</v>
      </c>
      <c r="AZ66" s="88">
        <v>-14707</v>
      </c>
      <c r="BA66" s="100">
        <v>-14707</v>
      </c>
      <c r="BB66" s="100">
        <v>-40233</v>
      </c>
      <c r="BC66" s="88">
        <v>-19568</v>
      </c>
      <c r="BD66" s="93">
        <v>-59801</v>
      </c>
      <c r="BE66" s="372">
        <v>-7561</v>
      </c>
      <c r="BF66" s="88">
        <v>-8915</v>
      </c>
      <c r="BG66" s="88">
        <v>-19853</v>
      </c>
      <c r="BH66" s="88">
        <v>-14349</v>
      </c>
      <c r="BI66" s="88">
        <v>-12952</v>
      </c>
      <c r="BJ66" s="93">
        <v>-50678</v>
      </c>
      <c r="BK66" s="93">
        <v>-44853</v>
      </c>
      <c r="BL66" s="88">
        <v>-16818.6504198899</v>
      </c>
      <c r="BM66" s="88">
        <v>-6652</v>
      </c>
      <c r="BN66" s="88">
        <v>-5640.349580110102</v>
      </c>
      <c r="BO66" s="88">
        <v>-5546.072</v>
      </c>
      <c r="BP66" s="88">
        <v>-3905</v>
      </c>
      <c r="BQ66" s="88">
        <v>-408</v>
      </c>
      <c r="BR66" s="93">
        <v>-26772</v>
      </c>
      <c r="BS66" s="88">
        <v>-7334</v>
      </c>
      <c r="BT66" s="88">
        <v>-7836</v>
      </c>
      <c r="BU66" s="88">
        <v>-6346</v>
      </c>
      <c r="BV66" s="232">
        <v>-20150</v>
      </c>
      <c r="BW66" s="473">
        <v>-41666</v>
      </c>
    </row>
    <row r="67" spans="1:75" ht="12.75">
      <c r="A67" s="124" t="s">
        <v>450</v>
      </c>
      <c r="B67" s="88">
        <v>5956</v>
      </c>
      <c r="C67" s="88">
        <v>-4048</v>
      </c>
      <c r="D67" s="88">
        <v>-7774</v>
      </c>
      <c r="E67" s="88">
        <v>7431</v>
      </c>
      <c r="F67" s="93">
        <v>1565</v>
      </c>
      <c r="G67" s="88">
        <v>3546</v>
      </c>
      <c r="H67" s="88">
        <v>-3544</v>
      </c>
      <c r="I67" s="88">
        <v>-5374</v>
      </c>
      <c r="J67" s="88">
        <v>5682</v>
      </c>
      <c r="K67" s="93">
        <v>310</v>
      </c>
      <c r="L67" s="88">
        <v>3350</v>
      </c>
      <c r="M67" s="88">
        <v>-5386</v>
      </c>
      <c r="N67" s="88">
        <v>-3021</v>
      </c>
      <c r="O67" s="88">
        <v>3551</v>
      </c>
      <c r="P67" s="93">
        <v>-1506</v>
      </c>
      <c r="Q67" s="88">
        <v>7164</v>
      </c>
      <c r="R67" s="88">
        <v>-3342</v>
      </c>
      <c r="S67" s="88">
        <v>-4658</v>
      </c>
      <c r="T67" s="88">
        <v>4873</v>
      </c>
      <c r="U67" s="93">
        <v>4037</v>
      </c>
      <c r="V67" s="88">
        <v>10284</v>
      </c>
      <c r="W67" s="88">
        <v>-4558</v>
      </c>
      <c r="X67" s="88">
        <v>-10960</v>
      </c>
      <c r="Y67" s="88">
        <v>-432</v>
      </c>
      <c r="Z67" s="93">
        <v>-5666</v>
      </c>
      <c r="AA67" s="88">
        <f t="shared" si="3"/>
        <v>14344</v>
      </c>
      <c r="AB67" s="88">
        <v>1096</v>
      </c>
      <c r="AC67" s="88">
        <v>221</v>
      </c>
      <c r="AD67" s="88">
        <v>1869</v>
      </c>
      <c r="AE67" s="93">
        <v>17530</v>
      </c>
      <c r="AF67" s="88">
        <v>-1421</v>
      </c>
      <c r="AG67" s="88">
        <v>-1899</v>
      </c>
      <c r="AH67" s="88">
        <v>-576</v>
      </c>
      <c r="AI67" s="88">
        <v>2521</v>
      </c>
      <c r="AJ67" s="93">
        <v>-1375</v>
      </c>
      <c r="AK67" s="88">
        <v>-66789</v>
      </c>
      <c r="AL67" s="88">
        <v>-171</v>
      </c>
      <c r="AM67" s="88">
        <v>5774</v>
      </c>
      <c r="AN67" s="88">
        <v>4412</v>
      </c>
      <c r="AO67" s="93">
        <v>-56774</v>
      </c>
      <c r="AP67" s="88">
        <v>-6325</v>
      </c>
      <c r="AQ67" s="88">
        <v>9352</v>
      </c>
      <c r="AR67" s="88">
        <v>2709</v>
      </c>
      <c r="AS67" s="88">
        <v>4002</v>
      </c>
      <c r="AT67" s="88">
        <v>-298</v>
      </c>
      <c r="AU67" s="100">
        <v>-1618</v>
      </c>
      <c r="AV67" s="93">
        <v>5438</v>
      </c>
      <c r="AW67" s="101">
        <v>2384</v>
      </c>
      <c r="AX67" s="88">
        <v>-1724</v>
      </c>
      <c r="AY67" s="88">
        <v>-866</v>
      </c>
      <c r="AZ67" s="88">
        <v>1797</v>
      </c>
      <c r="BA67" s="100">
        <v>1797</v>
      </c>
      <c r="BB67" s="100">
        <v>-793</v>
      </c>
      <c r="BC67" s="88">
        <v>-2497</v>
      </c>
      <c r="BD67" s="93">
        <v>-3290</v>
      </c>
      <c r="BE67" s="372">
        <v>-3425</v>
      </c>
      <c r="BF67" s="88">
        <v>-8581</v>
      </c>
      <c r="BG67" s="88">
        <v>-4996</v>
      </c>
      <c r="BH67" s="88">
        <v>5426</v>
      </c>
      <c r="BI67" s="88">
        <v>5426</v>
      </c>
      <c r="BJ67" s="93">
        <v>-11576</v>
      </c>
      <c r="BK67" s="93">
        <v>-11576</v>
      </c>
      <c r="BL67" s="88">
        <v>-4383</v>
      </c>
      <c r="BM67" s="88">
        <v>-4909</v>
      </c>
      <c r="BN67" s="88">
        <v>-4909</v>
      </c>
      <c r="BO67" s="88">
        <v>-8568</v>
      </c>
      <c r="BP67" s="88">
        <v>-8568</v>
      </c>
      <c r="BQ67" s="88">
        <v>4128</v>
      </c>
      <c r="BR67" s="93">
        <v>-13732</v>
      </c>
      <c r="BS67" s="88">
        <v>322</v>
      </c>
      <c r="BT67" s="88">
        <v>-11939</v>
      </c>
      <c r="BU67" s="88">
        <v>-12804</v>
      </c>
      <c r="BV67" s="232">
        <v>5347</v>
      </c>
      <c r="BW67" s="473">
        <v>-19074</v>
      </c>
    </row>
    <row r="68" spans="1:75" s="106" customFormat="1" ht="12.75" hidden="1">
      <c r="A68" s="409" t="s">
        <v>428</v>
      </c>
      <c r="B68" s="108">
        <v>20634</v>
      </c>
      <c r="C68" s="108">
        <v>2609</v>
      </c>
      <c r="D68" s="108">
        <v>11073</v>
      </c>
      <c r="E68" s="108">
        <v>37833</v>
      </c>
      <c r="F68" s="108">
        <v>72149</v>
      </c>
      <c r="G68" s="108">
        <v>28512</v>
      </c>
      <c r="H68" s="108">
        <v>45724</v>
      </c>
      <c r="I68" s="108">
        <v>33346</v>
      </c>
      <c r="J68" s="108">
        <v>21195</v>
      </c>
      <c r="K68" s="108">
        <v>128777</v>
      </c>
      <c r="L68" s="108">
        <v>48324</v>
      </c>
      <c r="M68" s="108">
        <v>23209</v>
      </c>
      <c r="N68" s="108">
        <v>52765</v>
      </c>
      <c r="O68" s="108">
        <v>54223</v>
      </c>
      <c r="P68" s="108">
        <v>178521</v>
      </c>
      <c r="Q68" s="108">
        <v>86610</v>
      </c>
      <c r="R68" s="108">
        <v>72667</v>
      </c>
      <c r="S68" s="108">
        <v>106381</v>
      </c>
      <c r="T68" s="108">
        <v>91672</v>
      </c>
      <c r="U68" s="108">
        <v>357330</v>
      </c>
      <c r="V68" s="108">
        <v>119307</v>
      </c>
      <c r="W68" s="108">
        <v>106621</v>
      </c>
      <c r="X68" s="108">
        <v>96362</v>
      </c>
      <c r="Y68" s="108">
        <v>105646</v>
      </c>
      <c r="Z68" s="108">
        <v>427936</v>
      </c>
      <c r="AA68" s="108">
        <f t="shared" si="3"/>
        <v>187020</v>
      </c>
      <c r="AB68" s="108">
        <v>134928</v>
      </c>
      <c r="AC68" s="108">
        <v>127123</v>
      </c>
      <c r="AD68" s="108">
        <v>78569</v>
      </c>
      <c r="AE68" s="108">
        <v>527640</v>
      </c>
      <c r="AF68" s="108">
        <v>109178</v>
      </c>
      <c r="AG68" s="108">
        <v>123574</v>
      </c>
      <c r="AH68" s="108">
        <v>134781</v>
      </c>
      <c r="AI68" s="108">
        <v>128510</v>
      </c>
      <c r="AJ68" s="108">
        <v>496043</v>
      </c>
      <c r="AK68" s="108">
        <v>101624</v>
      </c>
      <c r="AL68" s="108">
        <f>SUM(AL62:AL67)</f>
        <v>123245</v>
      </c>
      <c r="AM68" s="108">
        <v>75155</v>
      </c>
      <c r="AN68" s="108">
        <v>51316</v>
      </c>
      <c r="AO68" s="108">
        <v>351340</v>
      </c>
      <c r="AP68" s="108">
        <v>107632</v>
      </c>
      <c r="AQ68" s="108">
        <v>124026</v>
      </c>
      <c r="AR68" s="108">
        <v>98112</v>
      </c>
      <c r="AS68" s="108"/>
      <c r="AT68" s="108">
        <v>126616</v>
      </c>
      <c r="AU68" s="308"/>
      <c r="AV68" s="108">
        <v>456386</v>
      </c>
      <c r="AW68" s="308"/>
      <c r="AX68" s="108">
        <v>130170</v>
      </c>
      <c r="AY68" s="108">
        <v>123947</v>
      </c>
      <c r="AZ68" s="108">
        <v>163266</v>
      </c>
      <c r="BA68" s="308"/>
      <c r="BB68" s="308"/>
      <c r="BC68" s="108"/>
      <c r="BD68" s="108"/>
      <c r="BE68" s="386"/>
      <c r="BF68" s="108"/>
      <c r="BG68" s="108"/>
      <c r="BH68" s="108"/>
      <c r="BI68" s="108"/>
      <c r="BJ68" s="108"/>
      <c r="BK68" s="108"/>
      <c r="BL68" s="108"/>
      <c r="BM68" s="108"/>
      <c r="BN68" s="108"/>
      <c r="BO68" s="108"/>
      <c r="BP68" s="108"/>
      <c r="BQ68" s="108"/>
      <c r="BR68" s="108"/>
      <c r="BS68" s="108"/>
      <c r="BT68" s="108"/>
      <c r="BU68" s="108"/>
      <c r="BV68" s="108"/>
      <c r="BW68" s="108"/>
    </row>
    <row r="69" spans="1:74" s="106" customFormat="1" ht="12.75" hidden="1">
      <c r="A69" s="406" t="s">
        <v>437</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6">
        <v>-8295</v>
      </c>
      <c r="AT69" s="106">
        <v>6590</v>
      </c>
      <c r="AU69" s="300"/>
      <c r="AV69" s="106">
        <v>-1705</v>
      </c>
      <c r="AW69" s="300"/>
      <c r="AX69" s="108">
        <v>-11372</v>
      </c>
      <c r="AY69" s="108">
        <v>-13369</v>
      </c>
      <c r="AZ69" s="108">
        <v>-12628</v>
      </c>
      <c r="BA69" s="308"/>
      <c r="BB69" s="308"/>
      <c r="BC69" s="108"/>
      <c r="BE69" s="386"/>
      <c r="BF69" s="108"/>
      <c r="BG69" s="108"/>
      <c r="BH69" s="108"/>
      <c r="BI69" s="108"/>
      <c r="BL69" s="108"/>
      <c r="BM69" s="108"/>
      <c r="BN69" s="108"/>
      <c r="BO69" s="108"/>
      <c r="BP69" s="108"/>
      <c r="BQ69" s="108"/>
      <c r="BS69" s="108"/>
      <c r="BT69" s="108"/>
      <c r="BU69" s="108"/>
      <c r="BV69" s="108"/>
    </row>
    <row r="70" spans="1:75" ht="12.75">
      <c r="A70" s="104" t="s">
        <v>429</v>
      </c>
      <c r="B70" s="96">
        <v>20634</v>
      </c>
      <c r="C70" s="96">
        <v>2609</v>
      </c>
      <c r="D70" s="96">
        <v>11073</v>
      </c>
      <c r="E70" s="96">
        <v>37833</v>
      </c>
      <c r="F70" s="97">
        <v>72149</v>
      </c>
      <c r="G70" s="96">
        <v>28512</v>
      </c>
      <c r="H70" s="96">
        <v>45724</v>
      </c>
      <c r="I70" s="96">
        <v>33346</v>
      </c>
      <c r="J70" s="96">
        <v>21195</v>
      </c>
      <c r="K70" s="97">
        <v>128777</v>
      </c>
      <c r="L70" s="96">
        <v>48324</v>
      </c>
      <c r="M70" s="96">
        <v>23209</v>
      </c>
      <c r="N70" s="96">
        <v>52765</v>
      </c>
      <c r="O70" s="96">
        <v>54223</v>
      </c>
      <c r="P70" s="97">
        <v>178521</v>
      </c>
      <c r="Q70" s="96">
        <v>86610</v>
      </c>
      <c r="R70" s="96">
        <v>72667</v>
      </c>
      <c r="S70" s="96">
        <v>106381</v>
      </c>
      <c r="T70" s="96">
        <v>91672</v>
      </c>
      <c r="U70" s="97">
        <v>357330</v>
      </c>
      <c r="V70" s="96">
        <v>119307</v>
      </c>
      <c r="W70" s="96">
        <v>106621</v>
      </c>
      <c r="X70" s="96">
        <v>96362</v>
      </c>
      <c r="Y70" s="96">
        <v>105646</v>
      </c>
      <c r="Z70" s="97">
        <v>427936</v>
      </c>
      <c r="AA70" s="96">
        <f>AE70-AD70-AC70-AB70</f>
        <v>187020</v>
      </c>
      <c r="AB70" s="96">
        <v>134928</v>
      </c>
      <c r="AC70" s="96">
        <v>127123</v>
      </c>
      <c r="AD70" s="96">
        <v>78569</v>
      </c>
      <c r="AE70" s="97">
        <v>527640</v>
      </c>
      <c r="AF70" s="96">
        <v>109178</v>
      </c>
      <c r="AG70" s="96">
        <v>123574</v>
      </c>
      <c r="AH70" s="96">
        <v>134781</v>
      </c>
      <c r="AI70" s="96">
        <v>128510</v>
      </c>
      <c r="AJ70" s="97">
        <v>496043</v>
      </c>
      <c r="AK70" s="96">
        <v>101624</v>
      </c>
      <c r="AL70" s="96">
        <f>SUM(AL64:AL69)</f>
        <v>123071</v>
      </c>
      <c r="AM70" s="96">
        <v>75155</v>
      </c>
      <c r="AN70" s="96">
        <v>51316</v>
      </c>
      <c r="AO70" s="97">
        <v>351340</v>
      </c>
      <c r="AP70" s="96">
        <v>107632</v>
      </c>
      <c r="AQ70" s="96">
        <v>124026</v>
      </c>
      <c r="AR70" s="96">
        <v>89817</v>
      </c>
      <c r="AS70" s="96">
        <v>321475</v>
      </c>
      <c r="AT70" s="96">
        <v>133206</v>
      </c>
      <c r="AU70" s="294">
        <v>118044</v>
      </c>
      <c r="AV70" s="97">
        <v>454681</v>
      </c>
      <c r="AW70" s="291">
        <v>439519</v>
      </c>
      <c r="AX70" s="96">
        <v>118798</v>
      </c>
      <c r="AY70" s="96">
        <v>110578</v>
      </c>
      <c r="AZ70" s="96">
        <v>150638</v>
      </c>
      <c r="BA70" s="294">
        <v>150638</v>
      </c>
      <c r="BB70" s="294">
        <v>380014</v>
      </c>
      <c r="BC70" s="96">
        <v>139147</v>
      </c>
      <c r="BD70" s="97">
        <v>519161</v>
      </c>
      <c r="BE70" s="373">
        <v>118798</v>
      </c>
      <c r="BF70" s="96">
        <v>110578</v>
      </c>
      <c r="BG70" s="96">
        <v>150638</v>
      </c>
      <c r="BH70" s="96">
        <v>138112</v>
      </c>
      <c r="BI70" s="96">
        <v>139999</v>
      </c>
      <c r="BJ70" s="97">
        <v>518127</v>
      </c>
      <c r="BK70" s="97">
        <v>526038</v>
      </c>
      <c r="BL70" s="96">
        <v>177269.16641911012</v>
      </c>
      <c r="BM70" s="96">
        <v>155269</v>
      </c>
      <c r="BN70" s="96">
        <v>162296.83358088988</v>
      </c>
      <c r="BO70" s="96">
        <v>126994</v>
      </c>
      <c r="BP70" s="96">
        <v>129540</v>
      </c>
      <c r="BQ70" s="96">
        <v>133936</v>
      </c>
      <c r="BR70" s="97">
        <v>603022</v>
      </c>
      <c r="BS70" s="96">
        <v>157395</v>
      </c>
      <c r="BT70" s="96">
        <v>75544</v>
      </c>
      <c r="BU70" s="96">
        <v>173667</v>
      </c>
      <c r="BV70" s="96">
        <f>SUM(BV62:BV67)</f>
        <v>132285</v>
      </c>
      <c r="BW70" s="97">
        <f>SUM(BW62:BW67)</f>
        <v>538891</v>
      </c>
    </row>
    <row r="71" spans="1:36" ht="12.75">
      <c r="A71" s="125"/>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row>
    <row r="72" ht="12.75"/>
    <row r="73" spans="1:75" ht="25.5">
      <c r="A73" s="89" t="s">
        <v>527</v>
      </c>
      <c r="B73" s="166">
        <v>36981</v>
      </c>
      <c r="C73" s="166">
        <v>37072</v>
      </c>
      <c r="D73" s="166">
        <v>37164</v>
      </c>
      <c r="E73" s="166">
        <v>37256</v>
      </c>
      <c r="F73" s="166"/>
      <c r="G73" s="166">
        <v>37346</v>
      </c>
      <c r="H73" s="166">
        <v>37437</v>
      </c>
      <c r="I73" s="166">
        <v>37529</v>
      </c>
      <c r="J73" s="166">
        <v>37621</v>
      </c>
      <c r="K73" s="166"/>
      <c r="L73" s="166">
        <v>37711</v>
      </c>
      <c r="M73" s="166">
        <v>37802</v>
      </c>
      <c r="N73" s="166">
        <v>37894</v>
      </c>
      <c r="O73" s="166">
        <v>37986</v>
      </c>
      <c r="P73" s="166"/>
      <c r="Q73" s="166">
        <v>38077</v>
      </c>
      <c r="R73" s="166">
        <v>38168</v>
      </c>
      <c r="S73" s="166">
        <v>38260</v>
      </c>
      <c r="T73" s="166">
        <v>38352</v>
      </c>
      <c r="U73" s="166"/>
      <c r="V73" s="166">
        <v>38442</v>
      </c>
      <c r="W73" s="166">
        <v>38533</v>
      </c>
      <c r="X73" s="166">
        <v>38625</v>
      </c>
      <c r="Y73" s="166">
        <v>38717</v>
      </c>
      <c r="Z73" s="166"/>
      <c r="AA73" s="166">
        <v>38807</v>
      </c>
      <c r="AB73" s="166">
        <v>38898</v>
      </c>
      <c r="AC73" s="166">
        <v>38990</v>
      </c>
      <c r="AD73" s="166">
        <v>39082</v>
      </c>
      <c r="AE73" s="166"/>
      <c r="AF73" s="166">
        <v>39172</v>
      </c>
      <c r="AG73" s="166">
        <v>39263</v>
      </c>
      <c r="AH73" s="166">
        <v>39355</v>
      </c>
      <c r="AI73" s="167">
        <v>39447</v>
      </c>
      <c r="AJ73" s="167"/>
      <c r="AK73" s="167">
        <v>39538</v>
      </c>
      <c r="AL73" s="167">
        <v>39629</v>
      </c>
      <c r="AM73" s="167">
        <v>39721</v>
      </c>
      <c r="AN73" s="167">
        <v>39813</v>
      </c>
      <c r="AO73" s="120"/>
      <c r="AP73" s="167">
        <v>39903</v>
      </c>
      <c r="AQ73" s="167">
        <v>39994</v>
      </c>
      <c r="AR73" s="167">
        <v>40086</v>
      </c>
      <c r="AS73" s="167"/>
      <c r="AT73" s="167">
        <v>40178</v>
      </c>
      <c r="AU73" s="289"/>
      <c r="AV73" s="120"/>
      <c r="AW73" s="304" t="s">
        <v>465</v>
      </c>
      <c r="AX73" s="167">
        <v>40268</v>
      </c>
      <c r="AY73" s="167">
        <v>40359</v>
      </c>
      <c r="AZ73" s="167">
        <v>40451</v>
      </c>
      <c r="BA73" s="167"/>
      <c r="BB73" s="167"/>
      <c r="BC73" s="167"/>
      <c r="BD73" s="167">
        <v>40543</v>
      </c>
      <c r="BE73" s="439" t="s">
        <v>551</v>
      </c>
      <c r="BF73" s="90" t="s">
        <v>556</v>
      </c>
      <c r="BG73" s="90" t="s">
        <v>563</v>
      </c>
      <c r="BH73" s="90" t="s">
        <v>550</v>
      </c>
      <c r="BI73" s="90" t="s">
        <v>583</v>
      </c>
      <c r="BJ73" s="167">
        <v>40633</v>
      </c>
      <c r="BK73" s="466"/>
      <c r="BL73" s="167">
        <v>40633</v>
      </c>
      <c r="BM73" s="90" t="s">
        <v>558</v>
      </c>
      <c r="BN73" s="90" t="s">
        <v>612</v>
      </c>
      <c r="BO73" s="90" t="s">
        <v>564</v>
      </c>
      <c r="BP73" s="90"/>
      <c r="BQ73" s="167" t="s">
        <v>594</v>
      </c>
      <c r="BR73" s="167"/>
      <c r="BS73" s="167">
        <v>40999</v>
      </c>
      <c r="BT73" s="167">
        <v>41090</v>
      </c>
      <c r="BU73" s="167">
        <v>41182</v>
      </c>
      <c r="BV73" s="167">
        <v>41182</v>
      </c>
      <c r="BW73" s="167">
        <v>41274</v>
      </c>
    </row>
    <row r="74" spans="1:75" ht="12.75">
      <c r="A74" s="125" t="s">
        <v>524</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AA74" s="129"/>
      <c r="AB74" s="129"/>
      <c r="AC74" s="129"/>
      <c r="AD74" s="129"/>
      <c r="AF74" s="129"/>
      <c r="AG74" s="129"/>
      <c r="AH74" s="129"/>
      <c r="AI74" s="126"/>
      <c r="AJ74" s="126"/>
      <c r="AK74" s="129"/>
      <c r="AL74" s="129"/>
      <c r="AM74" s="129"/>
      <c r="AN74" s="129"/>
      <c r="AP74" s="129"/>
      <c r="AQ74" s="129"/>
      <c r="AR74" s="129"/>
      <c r="AS74" s="129"/>
      <c r="AT74" s="129"/>
      <c r="AU74" s="305"/>
      <c r="AX74" s="129"/>
      <c r="AY74" s="129"/>
      <c r="AZ74" s="129"/>
      <c r="BA74" s="129"/>
      <c r="BB74" s="129"/>
      <c r="BC74" s="129"/>
      <c r="BD74" s="129"/>
      <c r="BE74" s="383"/>
      <c r="BF74" s="129"/>
      <c r="BG74" s="129"/>
      <c r="BH74" s="129"/>
      <c r="BI74" s="129"/>
      <c r="BJ74" s="129"/>
      <c r="BK74" s="129"/>
      <c r="BL74" s="129"/>
      <c r="BR74" s="129"/>
      <c r="BW74" s="129"/>
    </row>
    <row r="75" spans="1:75" ht="12.75">
      <c r="A75" s="139" t="s">
        <v>518</v>
      </c>
      <c r="B75" s="88">
        <v>86231</v>
      </c>
      <c r="C75" s="88">
        <v>83626</v>
      </c>
      <c r="D75" s="88">
        <v>81976</v>
      </c>
      <c r="E75" s="88">
        <v>76974</v>
      </c>
      <c r="F75" s="106"/>
      <c r="G75" s="88">
        <v>74470</v>
      </c>
      <c r="H75" s="88">
        <v>72614</v>
      </c>
      <c r="I75" s="88">
        <v>69515</v>
      </c>
      <c r="J75" s="88">
        <v>72511</v>
      </c>
      <c r="K75" s="106"/>
      <c r="L75" s="88">
        <v>68813</v>
      </c>
      <c r="M75" s="88">
        <v>97605</v>
      </c>
      <c r="N75" s="88">
        <v>100602</v>
      </c>
      <c r="O75" s="88">
        <v>101237</v>
      </c>
      <c r="P75" s="106"/>
      <c r="Q75" s="88">
        <v>97691</v>
      </c>
      <c r="R75" s="88">
        <v>94336</v>
      </c>
      <c r="S75" s="88">
        <v>90881</v>
      </c>
      <c r="T75" s="88">
        <v>92917</v>
      </c>
      <c r="U75" s="106"/>
      <c r="V75" s="88">
        <v>95761</v>
      </c>
      <c r="W75" s="88">
        <v>104943</v>
      </c>
      <c r="X75" s="88">
        <v>153574</v>
      </c>
      <c r="Y75" s="88">
        <v>145971</v>
      </c>
      <c r="Z75" s="106"/>
      <c r="AA75" s="88">
        <v>146672</v>
      </c>
      <c r="AB75" s="88">
        <v>149607</v>
      </c>
      <c r="AC75" s="88">
        <v>147694</v>
      </c>
      <c r="AD75" s="88">
        <v>147056</v>
      </c>
      <c r="AE75" s="106"/>
      <c r="AF75" s="88">
        <v>141145</v>
      </c>
      <c r="AG75" s="88">
        <v>133429</v>
      </c>
      <c r="AH75" s="88">
        <v>139371</v>
      </c>
      <c r="AI75" s="88">
        <v>144120</v>
      </c>
      <c r="AJ75" s="106"/>
      <c r="AK75" s="88">
        <v>150877</v>
      </c>
      <c r="AL75" s="88">
        <v>154041</v>
      </c>
      <c r="AM75" s="88">
        <v>161690</v>
      </c>
      <c r="AN75" s="88">
        <v>166081</v>
      </c>
      <c r="AO75" s="106"/>
      <c r="AP75" s="88">
        <v>167816</v>
      </c>
      <c r="AQ75" s="88">
        <v>651156</v>
      </c>
      <c r="AR75" s="88">
        <v>715775</v>
      </c>
      <c r="AS75" s="88"/>
      <c r="AT75" s="88">
        <v>980097</v>
      </c>
      <c r="AU75" s="100"/>
      <c r="AV75" s="106"/>
      <c r="AW75" s="300">
        <v>1029595</v>
      </c>
      <c r="AX75" s="88">
        <v>999644</v>
      </c>
      <c r="AY75" s="88">
        <v>1075422</v>
      </c>
      <c r="AZ75" s="88">
        <v>1014116</v>
      </c>
      <c r="BA75" s="88"/>
      <c r="BB75" s="88"/>
      <c r="BC75" s="88"/>
      <c r="BD75" s="88">
        <v>1070351</v>
      </c>
      <c r="BE75" s="372">
        <v>1000169</v>
      </c>
      <c r="BF75" s="88">
        <v>1075422</v>
      </c>
      <c r="BG75" s="88">
        <v>1014116</v>
      </c>
      <c r="BH75" s="88">
        <v>1065969</v>
      </c>
      <c r="BI75" s="88">
        <v>1065969</v>
      </c>
      <c r="BJ75" s="88">
        <v>1000279</v>
      </c>
      <c r="BL75" s="88">
        <v>1000279</v>
      </c>
      <c r="BM75" s="88">
        <v>970823</v>
      </c>
      <c r="BN75" s="88">
        <v>970823</v>
      </c>
      <c r="BO75" s="88">
        <v>1039975</v>
      </c>
      <c r="BQ75" s="88">
        <v>1119479</v>
      </c>
      <c r="BR75" s="88"/>
      <c r="BS75" s="88">
        <v>1053178</v>
      </c>
      <c r="BT75" s="88">
        <v>1033245</v>
      </c>
      <c r="BU75" s="88">
        <v>1013873</v>
      </c>
      <c r="BV75" s="88"/>
      <c r="BW75" s="232">
        <v>995865</v>
      </c>
    </row>
    <row r="76" spans="1:75" ht="12.75">
      <c r="A76" s="139" t="s">
        <v>517</v>
      </c>
      <c r="B76" s="88">
        <v>213542</v>
      </c>
      <c r="C76" s="88">
        <v>214068</v>
      </c>
      <c r="D76" s="88">
        <v>213537</v>
      </c>
      <c r="E76" s="88">
        <v>198285</v>
      </c>
      <c r="F76" s="106"/>
      <c r="G76" s="88">
        <v>192831</v>
      </c>
      <c r="H76" s="88">
        <v>183446</v>
      </c>
      <c r="I76" s="88">
        <v>180776</v>
      </c>
      <c r="J76" s="88">
        <v>185951</v>
      </c>
      <c r="K76" s="106"/>
      <c r="L76" s="88">
        <v>179894</v>
      </c>
      <c r="M76" s="88">
        <v>371352</v>
      </c>
      <c r="N76" s="88">
        <v>358519</v>
      </c>
      <c r="O76" s="88">
        <v>398805</v>
      </c>
      <c r="P76" s="106"/>
      <c r="Q76" s="88">
        <v>430061</v>
      </c>
      <c r="R76" s="88">
        <v>437680</v>
      </c>
      <c r="S76" s="88">
        <v>443465</v>
      </c>
      <c r="T76" s="88">
        <v>465134</v>
      </c>
      <c r="U76" s="106"/>
      <c r="V76" s="88">
        <v>465822</v>
      </c>
      <c r="W76" s="88">
        <v>498937</v>
      </c>
      <c r="X76" s="88">
        <v>494361</v>
      </c>
      <c r="Y76" s="88">
        <v>515954</v>
      </c>
      <c r="Z76" s="106"/>
      <c r="AA76" s="88">
        <v>517915</v>
      </c>
      <c r="AB76" s="88">
        <v>525384</v>
      </c>
      <c r="AC76" s="88">
        <v>527127</v>
      </c>
      <c r="AD76" s="88">
        <v>540361</v>
      </c>
      <c r="AE76" s="106"/>
      <c r="AF76" s="88">
        <v>531822</v>
      </c>
      <c r="AG76" s="88">
        <v>522229</v>
      </c>
      <c r="AH76" s="88">
        <v>521218</v>
      </c>
      <c r="AI76" s="88">
        <v>665982</v>
      </c>
      <c r="AJ76" s="106"/>
      <c r="AK76" s="88">
        <v>672292</v>
      </c>
      <c r="AL76" s="88">
        <v>667198</v>
      </c>
      <c r="AM76" s="88">
        <v>671399</v>
      </c>
      <c r="AN76" s="88">
        <v>748977</v>
      </c>
      <c r="AO76" s="106"/>
      <c r="AP76" s="88">
        <v>827180</v>
      </c>
      <c r="AQ76" s="88">
        <v>1015320</v>
      </c>
      <c r="AR76" s="88">
        <v>1007864</v>
      </c>
      <c r="AS76" s="88"/>
      <c r="AT76" s="88">
        <v>1020703</v>
      </c>
      <c r="AU76" s="100"/>
      <c r="AV76" s="106"/>
      <c r="AW76" s="300">
        <v>950683</v>
      </c>
      <c r="AX76" s="88">
        <v>933456</v>
      </c>
      <c r="AY76" s="88">
        <v>996811</v>
      </c>
      <c r="AZ76" s="88">
        <v>963266</v>
      </c>
      <c r="BA76" s="88"/>
      <c r="BB76" s="88"/>
      <c r="BC76" s="88"/>
      <c r="BD76" s="88">
        <v>971511</v>
      </c>
      <c r="BE76" s="372">
        <v>1132165</v>
      </c>
      <c r="BF76" s="88">
        <v>1201382</v>
      </c>
      <c r="BG76" s="88">
        <v>1166240</v>
      </c>
      <c r="BH76" s="88">
        <v>1176040</v>
      </c>
      <c r="BI76" s="88">
        <v>1185563</v>
      </c>
      <c r="BJ76" s="88">
        <v>1128965</v>
      </c>
      <c r="BL76" s="88">
        <v>1137891.8</v>
      </c>
      <c r="BM76" s="88">
        <v>1119355</v>
      </c>
      <c r="BN76" s="88">
        <v>1122214</v>
      </c>
      <c r="BO76" s="88">
        <v>1199970</v>
      </c>
      <c r="BQ76" s="88">
        <v>1267913</v>
      </c>
      <c r="BR76" s="88"/>
      <c r="BS76" s="88">
        <v>1206510</v>
      </c>
      <c r="BT76" s="88">
        <v>1185074</v>
      </c>
      <c r="BU76" s="88">
        <v>1164637</v>
      </c>
      <c r="BV76" s="88"/>
      <c r="BW76" s="232">
        <v>1198618</v>
      </c>
    </row>
    <row r="77" spans="1:75" ht="12.75">
      <c r="A77" s="139" t="s">
        <v>516</v>
      </c>
      <c r="B77" s="88">
        <v>112673</v>
      </c>
      <c r="C77" s="88">
        <v>106472</v>
      </c>
      <c r="D77" s="88">
        <v>104563</v>
      </c>
      <c r="E77" s="88">
        <v>103524</v>
      </c>
      <c r="F77" s="106"/>
      <c r="G77" s="88">
        <v>101831</v>
      </c>
      <c r="H77" s="88">
        <v>100839</v>
      </c>
      <c r="I77" s="88">
        <v>100337</v>
      </c>
      <c r="J77" s="88">
        <v>100953</v>
      </c>
      <c r="K77" s="106"/>
      <c r="L77" s="88">
        <v>114041</v>
      </c>
      <c r="M77" s="88">
        <v>113765</v>
      </c>
      <c r="N77" s="88">
        <v>99933</v>
      </c>
      <c r="O77" s="88">
        <v>105050</v>
      </c>
      <c r="P77" s="106"/>
      <c r="Q77" s="88">
        <v>103045</v>
      </c>
      <c r="R77" s="88">
        <v>103140</v>
      </c>
      <c r="S77" s="88">
        <v>104415</v>
      </c>
      <c r="T77" s="88">
        <v>112095</v>
      </c>
      <c r="U77" s="106"/>
      <c r="V77" s="88">
        <v>115034</v>
      </c>
      <c r="W77" s="88">
        <v>117612</v>
      </c>
      <c r="X77" s="88">
        <v>120692</v>
      </c>
      <c r="Y77" s="88">
        <v>192344</v>
      </c>
      <c r="Z77" s="106"/>
      <c r="AA77" s="88">
        <v>73979</v>
      </c>
      <c r="AB77" s="88">
        <v>76008</v>
      </c>
      <c r="AC77" s="88">
        <v>76796</v>
      </c>
      <c r="AD77" s="88">
        <v>79022</v>
      </c>
      <c r="AE77" s="106"/>
      <c r="AF77" s="88">
        <v>78197</v>
      </c>
      <c r="AG77" s="88">
        <v>78168</v>
      </c>
      <c r="AH77" s="88">
        <v>84429</v>
      </c>
      <c r="AI77" s="88">
        <v>100654</v>
      </c>
      <c r="AJ77" s="106"/>
      <c r="AK77" s="88">
        <v>118306</v>
      </c>
      <c r="AL77" s="88">
        <v>152942</v>
      </c>
      <c r="AM77" s="88">
        <v>190284</v>
      </c>
      <c r="AN77" s="88">
        <v>231821</v>
      </c>
      <c r="AO77" s="106"/>
      <c r="AP77" s="88">
        <v>258285</v>
      </c>
      <c r="AQ77" s="88">
        <v>264070</v>
      </c>
      <c r="AR77" s="88">
        <v>272051</v>
      </c>
      <c r="AS77" s="88"/>
      <c r="AT77" s="88">
        <v>292029</v>
      </c>
      <c r="AU77" s="100"/>
      <c r="AV77" s="106"/>
      <c r="AW77" s="300">
        <v>357778</v>
      </c>
      <c r="AX77" s="88">
        <v>318314</v>
      </c>
      <c r="AY77" s="88">
        <v>412080</v>
      </c>
      <c r="AZ77" s="88">
        <v>423852</v>
      </c>
      <c r="BA77" s="88"/>
      <c r="BB77" s="88"/>
      <c r="BC77" s="88"/>
      <c r="BD77" s="88">
        <v>429948</v>
      </c>
      <c r="BE77" s="372">
        <v>366638</v>
      </c>
      <c r="BF77" s="88">
        <v>391789</v>
      </c>
      <c r="BG77" s="88">
        <v>399109</v>
      </c>
      <c r="BH77" s="88">
        <v>403193</v>
      </c>
      <c r="BI77" s="88">
        <v>403193</v>
      </c>
      <c r="BJ77" s="88">
        <v>392506</v>
      </c>
      <c r="BL77" s="88">
        <v>392506</v>
      </c>
      <c r="BM77" s="88">
        <v>385033</v>
      </c>
      <c r="BN77" s="88">
        <v>385033</v>
      </c>
      <c r="BO77" s="88">
        <v>403010</v>
      </c>
      <c r="BQ77" s="88">
        <v>414006</v>
      </c>
      <c r="BR77" s="88"/>
      <c r="BS77" s="88">
        <v>401168</v>
      </c>
      <c r="BT77" s="88">
        <v>393586</v>
      </c>
      <c r="BU77" s="88">
        <v>388181</v>
      </c>
      <c r="BV77" s="88"/>
      <c r="BW77" s="232">
        <v>391326</v>
      </c>
    </row>
    <row r="78" spans="1:73" s="106" customFormat="1" ht="12.75" hidden="1">
      <c r="A78" s="406" t="s">
        <v>62</v>
      </c>
      <c r="B78" s="106">
        <v>93916</v>
      </c>
      <c r="C78" s="106">
        <v>87215</v>
      </c>
      <c r="D78" s="106">
        <v>86880</v>
      </c>
      <c r="E78" s="106">
        <v>86255</v>
      </c>
      <c r="G78" s="106">
        <v>77016</v>
      </c>
      <c r="H78" s="106">
        <v>83544</v>
      </c>
      <c r="I78" s="106">
        <v>78599</v>
      </c>
      <c r="J78" s="106">
        <v>74341</v>
      </c>
      <c r="L78" s="106">
        <v>91296</v>
      </c>
      <c r="M78" s="106">
        <v>141133</v>
      </c>
      <c r="N78" s="106">
        <v>157445</v>
      </c>
      <c r="O78" s="106">
        <v>176716</v>
      </c>
      <c r="Q78" s="106">
        <v>166099</v>
      </c>
      <c r="R78" s="106">
        <v>187248</v>
      </c>
      <c r="S78" s="106">
        <v>193133</v>
      </c>
      <c r="T78" s="106">
        <v>193538</v>
      </c>
      <c r="V78" s="106">
        <v>189494</v>
      </c>
      <c r="W78" s="106">
        <v>185411</v>
      </c>
      <c r="X78" s="106">
        <v>200305</v>
      </c>
      <c r="Y78" s="106">
        <v>202032</v>
      </c>
      <c r="AA78" s="106">
        <v>202491</v>
      </c>
      <c r="AB78" s="106">
        <v>201780</v>
      </c>
      <c r="AC78" s="106">
        <v>197916</v>
      </c>
      <c r="AD78" s="106">
        <v>196188</v>
      </c>
      <c r="AF78" s="106">
        <v>192942</v>
      </c>
      <c r="AG78" s="106">
        <v>188476</v>
      </c>
      <c r="AH78" s="106">
        <v>186996</v>
      </c>
      <c r="AI78" s="106">
        <v>186269</v>
      </c>
      <c r="AK78" s="106">
        <v>184543</v>
      </c>
      <c r="AL78" s="106">
        <v>181913</v>
      </c>
      <c r="AM78" s="106">
        <v>180036</v>
      </c>
      <c r="AN78" s="106">
        <v>182689</v>
      </c>
      <c r="AP78" s="106">
        <v>188173</v>
      </c>
      <c r="AQ78" s="106">
        <v>184269</v>
      </c>
      <c r="AR78" s="106">
        <v>183611</v>
      </c>
      <c r="AT78" s="106">
        <v>182927</v>
      </c>
      <c r="AU78" s="300"/>
      <c r="AW78" s="300">
        <v>183080</v>
      </c>
      <c r="AX78" s="106">
        <v>179366</v>
      </c>
      <c r="AY78" s="106">
        <v>183016</v>
      </c>
      <c r="AZ78" s="106">
        <v>178231</v>
      </c>
      <c r="BD78" s="106">
        <v>176578</v>
      </c>
      <c r="BE78" s="378"/>
      <c r="BF78" s="106">
        <v>0</v>
      </c>
      <c r="BG78" s="106">
        <v>0</v>
      </c>
      <c r="BK78" s="91"/>
      <c r="BM78" s="106">
        <v>0</v>
      </c>
      <c r="BO78" s="106">
        <v>0</v>
      </c>
      <c r="BP78" s="91"/>
      <c r="BU78" s="106">
        <v>0</v>
      </c>
    </row>
    <row r="79" spans="1:75" ht="12.75">
      <c r="A79" s="124" t="s">
        <v>195</v>
      </c>
      <c r="B79" s="88">
        <v>25025</v>
      </c>
      <c r="C79" s="88">
        <v>24111</v>
      </c>
      <c r="D79" s="88">
        <v>24657</v>
      </c>
      <c r="E79" s="88">
        <v>23752</v>
      </c>
      <c r="F79" s="106"/>
      <c r="G79" s="88">
        <v>30333</v>
      </c>
      <c r="H79" s="88">
        <v>23093</v>
      </c>
      <c r="I79" s="88">
        <v>28046</v>
      </c>
      <c r="J79" s="88">
        <v>38983</v>
      </c>
      <c r="K79" s="106"/>
      <c r="L79" s="88">
        <v>28512</v>
      </c>
      <c r="M79" s="88">
        <v>63295</v>
      </c>
      <c r="N79" s="88">
        <v>72318</v>
      </c>
      <c r="O79" s="88">
        <v>74143</v>
      </c>
      <c r="P79" s="106"/>
      <c r="Q79" s="88">
        <v>56617</v>
      </c>
      <c r="R79" s="88">
        <v>56376</v>
      </c>
      <c r="S79" s="88">
        <v>55406</v>
      </c>
      <c r="T79" s="88">
        <v>61385</v>
      </c>
      <c r="U79" s="106"/>
      <c r="V79" s="88">
        <v>61152</v>
      </c>
      <c r="W79" s="88">
        <v>67338</v>
      </c>
      <c r="X79" s="88">
        <v>55577</v>
      </c>
      <c r="Y79" s="88">
        <v>56452</v>
      </c>
      <c r="Z79" s="106"/>
      <c r="AA79" s="88">
        <v>58290</v>
      </c>
      <c r="AB79" s="88">
        <v>57638</v>
      </c>
      <c r="AC79" s="88">
        <v>59512</v>
      </c>
      <c r="AD79" s="88">
        <v>64521</v>
      </c>
      <c r="AE79" s="106"/>
      <c r="AF79" s="88">
        <v>64458</v>
      </c>
      <c r="AG79" s="88">
        <v>62766</v>
      </c>
      <c r="AH79" s="88">
        <v>66081</v>
      </c>
      <c r="AI79" s="88">
        <v>76661</v>
      </c>
      <c r="AJ79" s="106"/>
      <c r="AK79" s="88">
        <v>78908</v>
      </c>
      <c r="AL79" s="88">
        <v>78556</v>
      </c>
      <c r="AM79" s="88">
        <v>78640</v>
      </c>
      <c r="AN79" s="88">
        <v>86264</v>
      </c>
      <c r="AO79" s="106"/>
      <c r="AP79" s="88">
        <v>88008</v>
      </c>
      <c r="AQ79" s="88">
        <v>111333</v>
      </c>
      <c r="AR79" s="88">
        <v>108673</v>
      </c>
      <c r="AS79" s="88"/>
      <c r="AT79" s="88">
        <v>101395</v>
      </c>
      <c r="AU79" s="100"/>
      <c r="AV79" s="106"/>
      <c r="AW79" s="300">
        <v>101328</v>
      </c>
      <c r="AX79" s="88">
        <v>99396</v>
      </c>
      <c r="AY79" s="88">
        <v>101203</v>
      </c>
      <c r="AZ79" s="88">
        <v>96920</v>
      </c>
      <c r="BA79" s="88"/>
      <c r="BB79" s="88"/>
      <c r="BC79" s="88"/>
      <c r="BD79" s="88">
        <v>96197</v>
      </c>
      <c r="BE79" s="372">
        <v>98090</v>
      </c>
      <c r="BF79" s="88">
        <v>101203</v>
      </c>
      <c r="BG79" s="88">
        <v>96920</v>
      </c>
      <c r="BH79" s="88">
        <v>96269</v>
      </c>
      <c r="BI79" s="88">
        <v>96269</v>
      </c>
      <c r="BJ79" s="88">
        <v>91586</v>
      </c>
      <c r="BL79" s="88">
        <v>91586</v>
      </c>
      <c r="BM79" s="88">
        <v>89181</v>
      </c>
      <c r="BN79" s="88">
        <v>89181</v>
      </c>
      <c r="BO79" s="88">
        <v>93353</v>
      </c>
      <c r="BQ79" s="88">
        <v>93901</v>
      </c>
      <c r="BR79" s="88"/>
      <c r="BS79" s="88">
        <v>88907</v>
      </c>
      <c r="BT79" s="88">
        <v>83913</v>
      </c>
      <c r="BU79" s="88">
        <v>81875</v>
      </c>
      <c r="BV79" s="88"/>
      <c r="BW79" s="232">
        <v>91375</v>
      </c>
    </row>
    <row r="80" spans="1:75" ht="12.75">
      <c r="A80" s="124" t="s">
        <v>452</v>
      </c>
      <c r="B80" s="88"/>
      <c r="C80" s="88"/>
      <c r="D80" s="88"/>
      <c r="E80" s="88"/>
      <c r="F80" s="106"/>
      <c r="G80" s="88"/>
      <c r="H80" s="88"/>
      <c r="I80" s="88"/>
      <c r="J80" s="88"/>
      <c r="K80" s="106"/>
      <c r="L80" s="88"/>
      <c r="M80" s="88"/>
      <c r="N80" s="88"/>
      <c r="O80" s="88"/>
      <c r="P80" s="106"/>
      <c r="Q80" s="88"/>
      <c r="R80" s="88"/>
      <c r="S80" s="88"/>
      <c r="T80" s="88"/>
      <c r="U80" s="106"/>
      <c r="V80" s="88"/>
      <c r="W80" s="88"/>
      <c r="X80" s="88"/>
      <c r="Y80" s="88"/>
      <c r="Z80" s="106"/>
      <c r="AA80" s="88"/>
      <c r="AB80" s="88"/>
      <c r="AC80" s="88"/>
      <c r="AD80" s="88"/>
      <c r="AE80" s="106"/>
      <c r="AF80" s="88"/>
      <c r="AG80" s="88"/>
      <c r="AH80" s="88"/>
      <c r="AI80" s="88"/>
      <c r="AJ80" s="106"/>
      <c r="AK80" s="88"/>
      <c r="AL80" s="88"/>
      <c r="AM80" s="88"/>
      <c r="AN80" s="88"/>
      <c r="AO80" s="106"/>
      <c r="AP80" s="88"/>
      <c r="AQ80" s="88"/>
      <c r="AR80" s="88"/>
      <c r="AS80" s="88"/>
      <c r="AT80" s="88"/>
      <c r="AU80" s="100"/>
      <c r="AV80" s="106"/>
      <c r="AW80" s="300">
        <v>-67244</v>
      </c>
      <c r="AX80" s="88"/>
      <c r="AY80" s="88">
        <v>-67154</v>
      </c>
      <c r="AZ80" s="88">
        <v>-65641</v>
      </c>
      <c r="BA80" s="88"/>
      <c r="BB80" s="88"/>
      <c r="BC80" s="88"/>
      <c r="BD80" s="88">
        <v>-64875</v>
      </c>
      <c r="BE80" s="372">
        <v>-66055</v>
      </c>
      <c r="BF80" s="88">
        <v>-67154</v>
      </c>
      <c r="BG80" s="88">
        <v>-65641</v>
      </c>
      <c r="BH80" s="88">
        <v>-65209</v>
      </c>
      <c r="BI80" s="88">
        <v>-65209</v>
      </c>
      <c r="BJ80" s="88">
        <v>-64725</v>
      </c>
      <c r="BL80" s="88">
        <v>-64725</v>
      </c>
      <c r="BM80" s="88">
        <v>-62561</v>
      </c>
      <c r="BN80" s="88">
        <v>-62561</v>
      </c>
      <c r="BO80" s="88">
        <v>-66512</v>
      </c>
      <c r="BQ80" s="88">
        <v>-70382</v>
      </c>
      <c r="BR80" s="88"/>
      <c r="BS80" s="88">
        <v>-66237</v>
      </c>
      <c r="BT80" s="88">
        <v>-62807</v>
      </c>
      <c r="BU80" s="88">
        <v>-62284</v>
      </c>
      <c r="BV80" s="88"/>
      <c r="BW80" s="232">
        <v>-64639</v>
      </c>
    </row>
    <row r="81" spans="1:75" s="106" customFormat="1" ht="12.75" hidden="1">
      <c r="A81" s="409" t="s">
        <v>430</v>
      </c>
      <c r="B81" s="108">
        <v>531387</v>
      </c>
      <c r="C81" s="108">
        <v>515492</v>
      </c>
      <c r="D81" s="108">
        <v>511613</v>
      </c>
      <c r="E81" s="108">
        <v>488790</v>
      </c>
      <c r="F81" s="108"/>
      <c r="G81" s="108">
        <v>476481</v>
      </c>
      <c r="H81" s="108">
        <v>463536</v>
      </c>
      <c r="I81" s="108">
        <v>457273</v>
      </c>
      <c r="J81" s="108">
        <v>472739</v>
      </c>
      <c r="K81" s="108"/>
      <c r="L81" s="108">
        <v>482556</v>
      </c>
      <c r="M81" s="108">
        <v>787150</v>
      </c>
      <c r="N81" s="108">
        <v>788817</v>
      </c>
      <c r="O81" s="108">
        <v>855951</v>
      </c>
      <c r="P81" s="108"/>
      <c r="Q81" s="108">
        <v>853513</v>
      </c>
      <c r="R81" s="108">
        <v>878780</v>
      </c>
      <c r="S81" s="108">
        <v>887300</v>
      </c>
      <c r="T81" s="108">
        <v>925069</v>
      </c>
      <c r="U81" s="108"/>
      <c r="V81" s="108">
        <v>927263</v>
      </c>
      <c r="W81" s="108">
        <v>974241</v>
      </c>
      <c r="X81" s="108">
        <v>1024509</v>
      </c>
      <c r="Y81" s="108">
        <v>1112753</v>
      </c>
      <c r="Z81" s="108"/>
      <c r="AA81" s="108">
        <v>999347</v>
      </c>
      <c r="AB81" s="108">
        <v>1010417</v>
      </c>
      <c r="AC81" s="108">
        <v>1009045</v>
      </c>
      <c r="AD81" s="108">
        <v>1027148</v>
      </c>
      <c r="AE81" s="108"/>
      <c r="AF81" s="108">
        <v>1008564</v>
      </c>
      <c r="AG81" s="108">
        <v>985068</v>
      </c>
      <c r="AH81" s="108">
        <v>998095</v>
      </c>
      <c r="AI81" s="108">
        <v>1173686</v>
      </c>
      <c r="AJ81" s="108"/>
      <c r="AK81" s="108">
        <v>1204926</v>
      </c>
      <c r="AL81" s="108">
        <f>SUM(AL75:AL79)</f>
        <v>1234650</v>
      </c>
      <c r="AM81" s="108">
        <v>1282049</v>
      </c>
      <c r="AN81" s="108">
        <v>1415832</v>
      </c>
      <c r="AO81" s="108"/>
      <c r="AP81" s="108">
        <v>1529462</v>
      </c>
      <c r="AQ81" s="108">
        <v>2226148</v>
      </c>
      <c r="AR81" s="108">
        <v>2287974</v>
      </c>
      <c r="AS81" s="108"/>
      <c r="AT81" s="106">
        <v>2577151</v>
      </c>
      <c r="AU81" s="300"/>
      <c r="AV81" s="108"/>
      <c r="AW81" s="308"/>
      <c r="AX81" s="108">
        <v>2530176</v>
      </c>
      <c r="AY81" s="108">
        <v>2701378</v>
      </c>
      <c r="AZ81" s="108">
        <v>2610744</v>
      </c>
      <c r="BA81" s="108"/>
      <c r="BB81" s="108"/>
      <c r="BC81" s="108"/>
      <c r="BD81" s="108"/>
      <c r="BE81" s="386"/>
      <c r="BF81" s="108"/>
      <c r="BG81" s="108"/>
      <c r="BH81" s="108"/>
      <c r="BI81" s="108"/>
      <c r="BJ81" s="108"/>
      <c r="BK81" s="116"/>
      <c r="BL81" s="108"/>
      <c r="BM81" s="108"/>
      <c r="BN81" s="108"/>
      <c r="BO81" s="108"/>
      <c r="BP81" s="116"/>
      <c r="BQ81" s="108"/>
      <c r="BR81" s="108"/>
      <c r="BS81" s="108"/>
      <c r="BT81" s="108"/>
      <c r="BU81" s="108"/>
      <c r="BV81" s="108"/>
      <c r="BW81" s="108"/>
    </row>
    <row r="82" spans="1:75" s="106" customFormat="1" ht="12.75" hidden="1">
      <c r="A82" s="406" t="s">
        <v>437</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413" t="s">
        <v>296</v>
      </c>
      <c r="AS82" s="413"/>
      <c r="AT82" s="106" t="s">
        <v>308</v>
      </c>
      <c r="AU82" s="300"/>
      <c r="AV82" s="108"/>
      <c r="AW82" s="308"/>
      <c r="AX82" s="108">
        <v>0</v>
      </c>
      <c r="AY82" s="108">
        <v>0</v>
      </c>
      <c r="AZ82" s="108">
        <v>0</v>
      </c>
      <c r="BA82" s="108"/>
      <c r="BB82" s="108"/>
      <c r="BC82" s="108"/>
      <c r="BD82" s="108"/>
      <c r="BE82" s="386"/>
      <c r="BF82" s="108"/>
      <c r="BG82" s="108"/>
      <c r="BH82" s="108"/>
      <c r="BI82" s="108"/>
      <c r="BJ82" s="108"/>
      <c r="BK82" s="116"/>
      <c r="BL82" s="108"/>
      <c r="BM82" s="108"/>
      <c r="BN82" s="108"/>
      <c r="BO82" s="108"/>
      <c r="BP82" s="116"/>
      <c r="BQ82" s="108"/>
      <c r="BR82" s="108"/>
      <c r="BS82" s="108"/>
      <c r="BT82" s="108"/>
      <c r="BU82" s="108"/>
      <c r="BV82" s="108"/>
      <c r="BW82" s="108"/>
    </row>
    <row r="83" spans="1:75" ht="12.75">
      <c r="A83" s="104" t="s">
        <v>431</v>
      </c>
      <c r="B83" s="96">
        <v>531387</v>
      </c>
      <c r="C83" s="96">
        <v>515492</v>
      </c>
      <c r="D83" s="96">
        <v>511613</v>
      </c>
      <c r="E83" s="96">
        <v>488790</v>
      </c>
      <c r="F83" s="108"/>
      <c r="G83" s="96">
        <v>476481</v>
      </c>
      <c r="H83" s="96">
        <v>463536</v>
      </c>
      <c r="I83" s="96">
        <v>457273</v>
      </c>
      <c r="J83" s="96">
        <v>472739</v>
      </c>
      <c r="K83" s="108"/>
      <c r="L83" s="96">
        <v>482556</v>
      </c>
      <c r="M83" s="96">
        <v>787150</v>
      </c>
      <c r="N83" s="96">
        <v>788817</v>
      </c>
      <c r="O83" s="96">
        <v>855951</v>
      </c>
      <c r="P83" s="108"/>
      <c r="Q83" s="96">
        <v>853513</v>
      </c>
      <c r="R83" s="96">
        <v>878780</v>
      </c>
      <c r="S83" s="96">
        <v>887300</v>
      </c>
      <c r="T83" s="96">
        <v>925069</v>
      </c>
      <c r="U83" s="108"/>
      <c r="V83" s="96">
        <v>927263</v>
      </c>
      <c r="W83" s="96">
        <v>974241</v>
      </c>
      <c r="X83" s="96">
        <v>1024509</v>
      </c>
      <c r="Y83" s="96">
        <v>1112753</v>
      </c>
      <c r="Z83" s="108"/>
      <c r="AA83" s="96">
        <v>999347</v>
      </c>
      <c r="AB83" s="96">
        <v>1010417</v>
      </c>
      <c r="AC83" s="96">
        <v>1009045</v>
      </c>
      <c r="AD83" s="96">
        <v>1027148</v>
      </c>
      <c r="AE83" s="108"/>
      <c r="AF83" s="96">
        <v>1008564</v>
      </c>
      <c r="AG83" s="96">
        <v>985068</v>
      </c>
      <c r="AH83" s="96">
        <v>998095</v>
      </c>
      <c r="AI83" s="96">
        <v>1173686</v>
      </c>
      <c r="AJ83" s="108"/>
      <c r="AK83" s="96">
        <v>1204926</v>
      </c>
      <c r="AL83" s="96">
        <f>SUM(AL77:AL82)</f>
        <v>1648061</v>
      </c>
      <c r="AM83" s="96">
        <v>1282049</v>
      </c>
      <c r="AN83" s="96">
        <v>1415832</v>
      </c>
      <c r="AO83" s="108"/>
      <c r="AP83" s="96">
        <v>1529462</v>
      </c>
      <c r="AQ83" s="96">
        <v>2226148</v>
      </c>
      <c r="AR83" s="96">
        <v>2287974</v>
      </c>
      <c r="AS83" s="96"/>
      <c r="AT83" s="88">
        <v>2577151</v>
      </c>
      <c r="AU83" s="100"/>
      <c r="AV83" s="108"/>
      <c r="AW83" s="308">
        <v>2555220</v>
      </c>
      <c r="AX83" s="96">
        <v>2530176</v>
      </c>
      <c r="AY83" s="96">
        <v>2701378</v>
      </c>
      <c r="AZ83" s="96">
        <v>2610744</v>
      </c>
      <c r="BA83" s="96"/>
      <c r="BB83" s="96"/>
      <c r="BC83" s="96"/>
      <c r="BD83" s="96">
        <v>2679710</v>
      </c>
      <c r="BE83" s="373">
        <v>2531007</v>
      </c>
      <c r="BF83" s="96">
        <v>2702642</v>
      </c>
      <c r="BG83" s="96">
        <v>2610744</v>
      </c>
      <c r="BH83" s="96">
        <v>2676262</v>
      </c>
      <c r="BI83" s="96">
        <v>2685785</v>
      </c>
      <c r="BJ83" s="96">
        <v>2548611</v>
      </c>
      <c r="BK83" s="116"/>
      <c r="BL83" s="96">
        <v>2557537.8</v>
      </c>
      <c r="BM83" s="96">
        <v>2501831</v>
      </c>
      <c r="BN83" s="96">
        <v>2504690</v>
      </c>
      <c r="BO83" s="96">
        <v>2669796</v>
      </c>
      <c r="BP83" s="116"/>
      <c r="BQ83" s="96">
        <v>2824917</v>
      </c>
      <c r="BR83" s="96"/>
      <c r="BS83" s="96">
        <v>2683526</v>
      </c>
      <c r="BT83" s="96">
        <v>2633011</v>
      </c>
      <c r="BU83" s="96">
        <v>2586282</v>
      </c>
      <c r="BV83" s="96"/>
      <c r="BW83" s="96">
        <f>SUM(BW75:BW82)</f>
        <v>2612545</v>
      </c>
    </row>
    <row r="84" spans="1:75" ht="12.75">
      <c r="A84" s="131"/>
      <c r="B84" s="96"/>
      <c r="C84" s="96"/>
      <c r="D84" s="96"/>
      <c r="E84" s="96"/>
      <c r="F84" s="116"/>
      <c r="G84" s="96"/>
      <c r="H84" s="96"/>
      <c r="I84" s="96"/>
      <c r="J84" s="96"/>
      <c r="K84" s="116"/>
      <c r="L84" s="96"/>
      <c r="M84" s="96"/>
      <c r="N84" s="96"/>
      <c r="O84" s="96"/>
      <c r="P84" s="116"/>
      <c r="Q84" s="96"/>
      <c r="R84" s="96"/>
      <c r="S84" s="96"/>
      <c r="T84" s="96"/>
      <c r="U84" s="116"/>
      <c r="V84" s="96"/>
      <c r="W84" s="96"/>
      <c r="X84" s="96"/>
      <c r="Y84" s="96"/>
      <c r="Z84" s="116"/>
      <c r="AA84" s="96"/>
      <c r="AB84" s="96"/>
      <c r="AC84" s="96"/>
      <c r="AD84" s="96"/>
      <c r="AE84" s="116"/>
      <c r="AF84" s="96"/>
      <c r="AG84" s="96"/>
      <c r="AH84" s="96"/>
      <c r="AI84" s="96"/>
      <c r="AJ84" s="116"/>
      <c r="AK84" s="96"/>
      <c r="AL84" s="96"/>
      <c r="AM84" s="96"/>
      <c r="AN84" s="96"/>
      <c r="AO84" s="116"/>
      <c r="AP84" s="96"/>
      <c r="AQ84" s="96"/>
      <c r="AR84" s="96"/>
      <c r="AS84" s="96"/>
      <c r="AT84" s="88"/>
      <c r="AU84" s="100"/>
      <c r="AV84" s="116"/>
      <c r="AW84" s="302"/>
      <c r="AX84" s="96"/>
      <c r="AY84" s="96"/>
      <c r="AZ84" s="96"/>
      <c r="BA84" s="294"/>
      <c r="BB84" s="294"/>
      <c r="BC84" s="96"/>
      <c r="BD84" s="116"/>
      <c r="BE84" s="373"/>
      <c r="BF84" s="96"/>
      <c r="BG84" s="96"/>
      <c r="BH84" s="96"/>
      <c r="BI84" s="96"/>
      <c r="BJ84" s="116"/>
      <c r="BK84" s="116"/>
      <c r="BL84" s="116"/>
      <c r="BM84" s="116"/>
      <c r="BN84" s="116"/>
      <c r="BO84" s="116"/>
      <c r="BP84" s="116"/>
      <c r="BQ84" s="116"/>
      <c r="BR84" s="116"/>
      <c r="BS84" s="116"/>
      <c r="BT84" s="116"/>
      <c r="BU84" s="116"/>
      <c r="BV84" s="116"/>
      <c r="BW84" s="116"/>
    </row>
    <row r="85" spans="1:75" ht="12.75">
      <c r="A85" s="3" t="s">
        <v>478</v>
      </c>
      <c r="B85" s="96"/>
      <c r="C85" s="96"/>
      <c r="D85" s="96"/>
      <c r="E85" s="96"/>
      <c r="F85" s="116"/>
      <c r="G85" s="96"/>
      <c r="H85" s="96"/>
      <c r="I85" s="96"/>
      <c r="J85" s="96"/>
      <c r="K85" s="116"/>
      <c r="L85" s="96"/>
      <c r="M85" s="96"/>
      <c r="N85" s="96"/>
      <c r="O85" s="96"/>
      <c r="P85" s="116"/>
      <c r="Q85" s="96"/>
      <c r="R85" s="96"/>
      <c r="S85" s="96"/>
      <c r="T85" s="96"/>
      <c r="U85" s="116"/>
      <c r="V85" s="96"/>
      <c r="W85" s="96"/>
      <c r="X85" s="96"/>
      <c r="Y85" s="96"/>
      <c r="Z85" s="116"/>
      <c r="AA85" s="96"/>
      <c r="AB85" s="96"/>
      <c r="AC85" s="96"/>
      <c r="AD85" s="96"/>
      <c r="AE85" s="116"/>
      <c r="AF85" s="96"/>
      <c r="AG85" s="96"/>
      <c r="AH85" s="96"/>
      <c r="AI85" s="96"/>
      <c r="AJ85" s="116"/>
      <c r="AK85" s="96"/>
      <c r="AL85" s="96"/>
      <c r="AM85" s="96"/>
      <c r="AN85" s="96"/>
      <c r="AO85" s="116"/>
      <c r="AP85" s="96"/>
      <c r="AQ85" s="96"/>
      <c r="AR85" s="96"/>
      <c r="AS85" s="96"/>
      <c r="AT85" s="88"/>
      <c r="AU85" s="100"/>
      <c r="AV85" s="116"/>
      <c r="AW85" s="302"/>
      <c r="AX85" s="96"/>
      <c r="AY85" s="96"/>
      <c r="AZ85" s="96"/>
      <c r="BA85" s="294"/>
      <c r="BB85" s="294"/>
      <c r="BC85" s="96"/>
      <c r="BD85" s="116"/>
      <c r="BE85" s="373"/>
      <c r="BF85" s="96"/>
      <c r="BG85" s="96"/>
      <c r="BH85" s="96"/>
      <c r="BI85" s="96"/>
      <c r="BJ85" s="116"/>
      <c r="BK85" s="116"/>
      <c r="BL85" s="116"/>
      <c r="BM85" s="116"/>
      <c r="BN85" s="116"/>
      <c r="BO85" s="116"/>
      <c r="BP85" s="116"/>
      <c r="BQ85" s="116"/>
      <c r="BR85" s="116"/>
      <c r="BS85" s="116"/>
      <c r="BT85" s="116"/>
      <c r="BU85" s="116"/>
      <c r="BV85" s="116"/>
      <c r="BW85" s="116"/>
    </row>
    <row r="86" ht="12.75">
      <c r="A86" s="3" t="s">
        <v>523</v>
      </c>
    </row>
    <row r="87" spans="1:74" s="3" customFormat="1" ht="12.75">
      <c r="A87" s="3" t="s">
        <v>592</v>
      </c>
      <c r="AS87" s="265"/>
      <c r="AU87" s="265"/>
      <c r="AW87" s="265"/>
      <c r="BA87" s="265"/>
      <c r="BB87" s="265"/>
      <c r="BE87" s="360"/>
      <c r="BM87" s="171"/>
      <c r="BN87" s="171"/>
      <c r="BO87" s="171"/>
      <c r="BP87" s="171"/>
      <c r="BS87" s="171"/>
      <c r="BT87" s="171"/>
      <c r="BU87" s="171"/>
      <c r="BV87" s="171"/>
    </row>
    <row r="88" ht="12.75">
      <c r="A88" s="3" t="s">
        <v>552</v>
      </c>
    </row>
    <row r="89" ht="12.75">
      <c r="A89" s="3" t="s">
        <v>0</v>
      </c>
    </row>
    <row r="90" ht="12.75">
      <c r="A90" s="3"/>
    </row>
    <row r="91" ht="12.75"/>
    <row r="92" ht="12.75">
      <c r="A92" s="118" t="s">
        <v>363</v>
      </c>
    </row>
    <row r="93" spans="1:31" ht="12.75">
      <c r="A93" s="125" t="s">
        <v>344</v>
      </c>
      <c r="F93" s="119" t="s">
        <v>227</v>
      </c>
      <c r="K93" s="119" t="s">
        <v>227</v>
      </c>
      <c r="P93" s="119" t="s">
        <v>227</v>
      </c>
      <c r="U93" s="119" t="s">
        <v>227</v>
      </c>
      <c r="Z93" s="119" t="s">
        <v>227</v>
      </c>
      <c r="AE93" s="119" t="s">
        <v>227</v>
      </c>
    </row>
    <row r="94" spans="1:75" ht="26.25" customHeight="1">
      <c r="A94" s="180" t="s">
        <v>384</v>
      </c>
      <c r="B94" s="181" t="s">
        <v>2</v>
      </c>
      <c r="C94" s="181" t="s">
        <v>3</v>
      </c>
      <c r="D94" s="181" t="s">
        <v>4</v>
      </c>
      <c r="E94" s="181" t="s">
        <v>5</v>
      </c>
      <c r="F94" s="181" t="s">
        <v>6</v>
      </c>
      <c r="G94" s="181" t="s">
        <v>12</v>
      </c>
      <c r="H94" s="181" t="s">
        <v>13</v>
      </c>
      <c r="I94" s="181" t="s">
        <v>14</v>
      </c>
      <c r="J94" s="181" t="s">
        <v>15</v>
      </c>
      <c r="K94" s="181" t="s">
        <v>16</v>
      </c>
      <c r="L94" s="181" t="s">
        <v>17</v>
      </c>
      <c r="M94" s="181" t="s">
        <v>18</v>
      </c>
      <c r="N94" s="181" t="s">
        <v>19</v>
      </c>
      <c r="O94" s="181" t="s">
        <v>20</v>
      </c>
      <c r="P94" s="181" t="s">
        <v>21</v>
      </c>
      <c r="Q94" s="181" t="s">
        <v>22</v>
      </c>
      <c r="R94" s="181" t="s">
        <v>23</v>
      </c>
      <c r="S94" s="181" t="s">
        <v>24</v>
      </c>
      <c r="T94" s="181" t="s">
        <v>25</v>
      </c>
      <c r="U94" s="181" t="s">
        <v>26</v>
      </c>
      <c r="V94" s="181" t="s">
        <v>27</v>
      </c>
      <c r="W94" s="181" t="s">
        <v>28</v>
      </c>
      <c r="X94" s="181" t="s">
        <v>29</v>
      </c>
      <c r="Y94" s="181" t="s">
        <v>30</v>
      </c>
      <c r="Z94" s="181" t="s">
        <v>31</v>
      </c>
      <c r="AA94" s="181" t="s">
        <v>32</v>
      </c>
      <c r="AB94" s="181" t="s">
        <v>33</v>
      </c>
      <c r="AC94" s="181" t="s">
        <v>34</v>
      </c>
      <c r="AD94" s="181" t="s">
        <v>271</v>
      </c>
      <c r="AE94" s="181" t="s">
        <v>272</v>
      </c>
      <c r="AF94" s="181" t="s">
        <v>274</v>
      </c>
      <c r="AG94" s="181" t="s">
        <v>276</v>
      </c>
      <c r="AH94" s="181" t="s">
        <v>278</v>
      </c>
      <c r="AI94" s="188" t="s">
        <v>280</v>
      </c>
      <c r="AJ94" s="188" t="s">
        <v>281</v>
      </c>
      <c r="AK94" s="188" t="s">
        <v>289</v>
      </c>
      <c r="AL94" s="188" t="s">
        <v>290</v>
      </c>
      <c r="AM94" s="188" t="s">
        <v>291</v>
      </c>
      <c r="AN94" s="188" t="s">
        <v>292</v>
      </c>
      <c r="AO94" s="188" t="s">
        <v>293</v>
      </c>
      <c r="AP94" s="188" t="s">
        <v>329</v>
      </c>
      <c r="AQ94" s="188" t="s">
        <v>330</v>
      </c>
      <c r="AR94" s="188" t="s">
        <v>331</v>
      </c>
      <c r="AS94" s="317" t="s">
        <v>490</v>
      </c>
      <c r="AT94" s="188" t="s">
        <v>332</v>
      </c>
      <c r="AU94" s="317" t="s">
        <v>477</v>
      </c>
      <c r="AV94" s="188" t="s">
        <v>333</v>
      </c>
      <c r="AW94" s="306" t="s">
        <v>463</v>
      </c>
      <c r="AX94" s="188" t="s">
        <v>448</v>
      </c>
      <c r="AY94" s="188" t="s">
        <v>451</v>
      </c>
      <c r="AZ94" s="188" t="s">
        <v>453</v>
      </c>
      <c r="BA94" s="306" t="s">
        <v>461</v>
      </c>
      <c r="BB94" s="317" t="s">
        <v>480</v>
      </c>
      <c r="BC94" s="188" t="s">
        <v>454</v>
      </c>
      <c r="BD94" s="188" t="s">
        <v>457</v>
      </c>
      <c r="BE94" s="384"/>
      <c r="BF94" s="188"/>
      <c r="BG94" s="188"/>
      <c r="BH94" s="188"/>
      <c r="BI94" s="188"/>
      <c r="BJ94" s="188"/>
      <c r="BK94" s="188"/>
      <c r="BL94" s="188"/>
      <c r="BM94" s="188"/>
      <c r="BN94" s="188"/>
      <c r="BO94" s="188"/>
      <c r="BP94" s="188"/>
      <c r="BQ94" s="188"/>
      <c r="BR94" s="188"/>
      <c r="BS94" s="188"/>
      <c r="BT94" s="188"/>
      <c r="BU94" s="188"/>
      <c r="BV94" s="188"/>
      <c r="BW94" s="188"/>
    </row>
    <row r="95" spans="1:75" ht="12.75" customHeight="1">
      <c r="A95" s="121"/>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3"/>
      <c r="AJ95" s="123"/>
      <c r="AK95" s="123"/>
      <c r="AL95" s="123"/>
      <c r="AM95" s="123"/>
      <c r="AN95" s="123"/>
      <c r="AO95" s="123"/>
      <c r="AP95" s="123"/>
      <c r="AQ95" s="123"/>
      <c r="AR95" s="123"/>
      <c r="AS95" s="123"/>
      <c r="AT95" s="123"/>
      <c r="AU95" s="301"/>
      <c r="AV95" s="123"/>
      <c r="AW95" s="301"/>
      <c r="AX95" s="123"/>
      <c r="AY95" s="123"/>
      <c r="AZ95" s="123"/>
      <c r="BA95" s="301"/>
      <c r="BB95" s="301"/>
      <c r="BC95" s="123"/>
      <c r="BD95" s="123"/>
      <c r="BE95" s="379"/>
      <c r="BF95" s="123"/>
      <c r="BG95" s="123"/>
      <c r="BH95" s="123"/>
      <c r="BI95" s="123"/>
      <c r="BJ95" s="123"/>
      <c r="BK95" s="123"/>
      <c r="BL95" s="123"/>
      <c r="BM95" s="123"/>
      <c r="BN95" s="123"/>
      <c r="BO95" s="123"/>
      <c r="BP95" s="123"/>
      <c r="BQ95" s="123"/>
      <c r="BR95" s="123"/>
      <c r="BS95" s="123"/>
      <c r="BT95" s="123"/>
      <c r="BU95" s="123"/>
      <c r="BV95" s="123"/>
      <c r="BW95" s="123"/>
    </row>
    <row r="96" spans="1:75" ht="12.75" customHeight="1">
      <c r="A96" s="183" t="s">
        <v>192</v>
      </c>
      <c r="B96" s="106"/>
      <c r="C96" s="106"/>
      <c r="D96" s="106"/>
      <c r="E96" s="106"/>
      <c r="F96" s="204">
        <v>165613</v>
      </c>
      <c r="G96" s="106"/>
      <c r="H96" s="106"/>
      <c r="I96" s="106"/>
      <c r="J96" s="106"/>
      <c r="K96" s="204">
        <v>128018</v>
      </c>
      <c r="L96" s="106"/>
      <c r="M96" s="106"/>
      <c r="N96" s="106"/>
      <c r="O96" s="106"/>
      <c r="P96" s="204">
        <v>151457</v>
      </c>
      <c r="Q96" s="106"/>
      <c r="R96" s="106"/>
      <c r="S96" s="106"/>
      <c r="T96" s="106"/>
      <c r="U96" s="204">
        <v>208521</v>
      </c>
      <c r="V96" s="88">
        <v>57315</v>
      </c>
      <c r="W96" s="88">
        <v>64314</v>
      </c>
      <c r="X96" s="88">
        <v>79465</v>
      </c>
      <c r="Y96" s="88">
        <v>88403</v>
      </c>
      <c r="Z96" s="204">
        <v>289497</v>
      </c>
      <c r="AA96" s="88">
        <f>AE96-AD96-AC96-AB96</f>
        <v>99484</v>
      </c>
      <c r="AB96" s="88">
        <v>94403</v>
      </c>
      <c r="AC96" s="88">
        <v>102679</v>
      </c>
      <c r="AD96" s="88">
        <v>93045</v>
      </c>
      <c r="AE96" s="204">
        <v>389611</v>
      </c>
      <c r="AF96" s="88">
        <v>75246</v>
      </c>
      <c r="AG96" s="88">
        <v>76488</v>
      </c>
      <c r="AH96" s="88">
        <v>85486</v>
      </c>
      <c r="AI96" s="88">
        <v>97586</v>
      </c>
      <c r="AJ96" s="204">
        <v>334806</v>
      </c>
      <c r="AK96" s="88">
        <v>93770</v>
      </c>
      <c r="AL96" s="88">
        <v>105691</v>
      </c>
      <c r="AM96" s="88">
        <v>118491</v>
      </c>
      <c r="AN96" s="88">
        <v>110879</v>
      </c>
      <c r="AO96" s="204">
        <v>428831</v>
      </c>
      <c r="AP96" s="88">
        <v>103900</v>
      </c>
      <c r="AQ96" s="88">
        <v>80253</v>
      </c>
      <c r="AR96" s="88">
        <v>69916</v>
      </c>
      <c r="AS96" s="88">
        <v>254069</v>
      </c>
      <c r="AT96" s="88">
        <v>78267</v>
      </c>
      <c r="AU96" s="100">
        <v>78299</v>
      </c>
      <c r="AV96" s="204">
        <v>332336</v>
      </c>
      <c r="AW96" s="309">
        <v>332368</v>
      </c>
      <c r="AX96" s="88">
        <v>82575</v>
      </c>
      <c r="AY96" s="88">
        <v>96491</v>
      </c>
      <c r="AZ96" s="88">
        <v>94238</v>
      </c>
      <c r="BA96" s="100">
        <v>189551</v>
      </c>
      <c r="BB96" s="100">
        <v>273304</v>
      </c>
      <c r="BC96" s="88">
        <v>100113</v>
      </c>
      <c r="BD96" s="204">
        <v>373417</v>
      </c>
      <c r="BE96" s="378"/>
      <c r="BF96" s="106"/>
      <c r="BG96" s="106"/>
      <c r="BH96" s="106"/>
      <c r="BI96" s="106"/>
      <c r="BJ96" s="106"/>
      <c r="BK96" s="106"/>
      <c r="BL96" s="106"/>
      <c r="BM96" s="106"/>
      <c r="BN96" s="106"/>
      <c r="BO96" s="106"/>
      <c r="BP96" s="106"/>
      <c r="BQ96" s="106"/>
      <c r="BR96" s="106"/>
      <c r="BS96" s="106"/>
      <c r="BT96" s="106"/>
      <c r="BU96" s="106"/>
      <c r="BV96" s="106"/>
      <c r="BW96" s="106"/>
    </row>
    <row r="97" spans="1:75" ht="12.75" customHeight="1">
      <c r="A97" s="183" t="s">
        <v>193</v>
      </c>
      <c r="B97" s="106"/>
      <c r="C97" s="106"/>
      <c r="D97" s="106"/>
      <c r="E97" s="106"/>
      <c r="F97" s="204">
        <v>880787</v>
      </c>
      <c r="G97" s="106"/>
      <c r="H97" s="106"/>
      <c r="I97" s="106"/>
      <c r="J97" s="106"/>
      <c r="K97" s="204">
        <v>728166</v>
      </c>
      <c r="L97" s="106"/>
      <c r="M97" s="106"/>
      <c r="N97" s="106"/>
      <c r="O97" s="106"/>
      <c r="P97" s="204">
        <v>1008382</v>
      </c>
      <c r="Q97" s="106"/>
      <c r="R97" s="106"/>
      <c r="S97" s="106"/>
      <c r="T97" s="106"/>
      <c r="U97" s="204">
        <v>1347458</v>
      </c>
      <c r="V97" s="88">
        <v>318634</v>
      </c>
      <c r="W97" s="88">
        <v>433915</v>
      </c>
      <c r="X97" s="88">
        <v>502707</v>
      </c>
      <c r="Y97" s="88">
        <v>512118</v>
      </c>
      <c r="Z97" s="204">
        <v>1767374</v>
      </c>
      <c r="AA97" s="88">
        <f aca="true" t="shared" si="4" ref="AA97:AA108">AE97-AD97-AC97-AB97</f>
        <v>475932</v>
      </c>
      <c r="AB97" s="88">
        <v>640764</v>
      </c>
      <c r="AC97" s="88">
        <v>681430</v>
      </c>
      <c r="AD97" s="88">
        <v>533128</v>
      </c>
      <c r="AE97" s="204">
        <v>2331254</v>
      </c>
      <c r="AF97" s="88">
        <v>438547</v>
      </c>
      <c r="AG97" s="88">
        <v>539778</v>
      </c>
      <c r="AH97" s="88">
        <v>607818</v>
      </c>
      <c r="AI97" s="88">
        <v>704271</v>
      </c>
      <c r="AJ97" s="204">
        <v>2290414</v>
      </c>
      <c r="AK97" s="88">
        <v>715204</v>
      </c>
      <c r="AL97" s="88">
        <v>846986</v>
      </c>
      <c r="AM97" s="88">
        <v>879957</v>
      </c>
      <c r="AN97" s="88">
        <v>703425</v>
      </c>
      <c r="AO97" s="204">
        <v>3145572</v>
      </c>
      <c r="AP97" s="88">
        <v>504889</v>
      </c>
      <c r="AQ97" s="88">
        <v>606286</v>
      </c>
      <c r="AR97" s="88">
        <v>678479</v>
      </c>
      <c r="AS97" s="88">
        <v>1789654</v>
      </c>
      <c r="AT97" s="88">
        <v>679279</v>
      </c>
      <c r="AU97" s="100">
        <v>673257</v>
      </c>
      <c r="AV97" s="204">
        <v>2468933</v>
      </c>
      <c r="AW97" s="309">
        <v>2462911</v>
      </c>
      <c r="AX97" s="88">
        <v>629010</v>
      </c>
      <c r="AY97" s="88">
        <v>769454</v>
      </c>
      <c r="AZ97" s="88">
        <v>878575</v>
      </c>
      <c r="BA97" s="100">
        <v>1034675</v>
      </c>
      <c r="BB97" s="100">
        <v>2277039</v>
      </c>
      <c r="BC97" s="88">
        <v>834702</v>
      </c>
      <c r="BD97" s="204">
        <v>3111741</v>
      </c>
      <c r="BE97" s="378"/>
      <c r="BF97" s="106"/>
      <c r="BG97" s="106"/>
      <c r="BH97" s="106"/>
      <c r="BI97" s="106"/>
      <c r="BJ97" s="106"/>
      <c r="BK97" s="106"/>
      <c r="BL97" s="106"/>
      <c r="BM97" s="106"/>
      <c r="BN97" s="106"/>
      <c r="BO97" s="106"/>
      <c r="BP97" s="106"/>
      <c r="BQ97" s="106"/>
      <c r="BR97" s="106"/>
      <c r="BS97" s="106"/>
      <c r="BT97" s="106"/>
      <c r="BU97" s="106"/>
      <c r="BV97" s="106"/>
      <c r="BW97" s="106"/>
    </row>
    <row r="98" spans="1:75" ht="12.75" customHeight="1">
      <c r="A98" s="183" t="s">
        <v>432</v>
      </c>
      <c r="B98" s="106"/>
      <c r="C98" s="106"/>
      <c r="D98" s="106"/>
      <c r="E98" s="106"/>
      <c r="F98" s="204">
        <v>353898</v>
      </c>
      <c r="G98" s="106"/>
      <c r="H98" s="106"/>
      <c r="I98" s="106"/>
      <c r="J98" s="106"/>
      <c r="K98" s="204">
        <v>377636</v>
      </c>
      <c r="L98" s="106"/>
      <c r="M98" s="106"/>
      <c r="N98" s="106"/>
      <c r="O98" s="106"/>
      <c r="P98" s="204">
        <v>439104</v>
      </c>
      <c r="Q98" s="106"/>
      <c r="R98" s="106"/>
      <c r="S98" s="106"/>
      <c r="T98" s="106"/>
      <c r="U98" s="204">
        <v>541279</v>
      </c>
      <c r="V98" s="88">
        <v>242989</v>
      </c>
      <c r="W98" s="88">
        <v>101640</v>
      </c>
      <c r="X98" s="88">
        <v>83560</v>
      </c>
      <c r="Y98" s="88">
        <v>233572</v>
      </c>
      <c r="Z98" s="204">
        <v>661761</v>
      </c>
      <c r="AA98" s="88">
        <f t="shared" si="4"/>
        <v>317402</v>
      </c>
      <c r="AB98" s="88">
        <v>16185</v>
      </c>
      <c r="AC98" s="88">
        <v>16471</v>
      </c>
      <c r="AD98" s="88">
        <v>18137</v>
      </c>
      <c r="AE98" s="204">
        <v>368195</v>
      </c>
      <c r="AF98" s="88">
        <v>20389</v>
      </c>
      <c r="AG98" s="88">
        <v>16530</v>
      </c>
      <c r="AH98" s="88">
        <v>17641</v>
      </c>
      <c r="AI98" s="88">
        <v>36134</v>
      </c>
      <c r="AJ98" s="204">
        <v>90694</v>
      </c>
      <c r="AK98" s="88">
        <v>38739</v>
      </c>
      <c r="AL98" s="88">
        <v>37791</v>
      </c>
      <c r="AM98" s="88">
        <v>50716</v>
      </c>
      <c r="AN98" s="88">
        <v>72060</v>
      </c>
      <c r="AO98" s="204">
        <v>199306</v>
      </c>
      <c r="AP98" s="88">
        <v>94112</v>
      </c>
      <c r="AQ98" s="88">
        <v>39671</v>
      </c>
      <c r="AR98" s="88">
        <v>213020</v>
      </c>
      <c r="AS98" s="88">
        <v>346803</v>
      </c>
      <c r="AT98" s="88">
        <v>166440</v>
      </c>
      <c r="AU98" s="100">
        <v>166953</v>
      </c>
      <c r="AV98" s="204">
        <v>513243</v>
      </c>
      <c r="AW98" s="309">
        <v>513756</v>
      </c>
      <c r="AX98" s="88">
        <v>143338</v>
      </c>
      <c r="AY98" s="88">
        <v>150507</v>
      </c>
      <c r="AZ98" s="88">
        <v>134453</v>
      </c>
      <c r="BA98" s="100">
        <v>134453</v>
      </c>
      <c r="BB98" s="100">
        <v>428298</v>
      </c>
      <c r="BC98" s="88">
        <v>88344</v>
      </c>
      <c r="BD98" s="204">
        <v>516642</v>
      </c>
      <c r="BE98" s="378"/>
      <c r="BF98" s="106"/>
      <c r="BG98" s="106"/>
      <c r="BH98" s="106"/>
      <c r="BI98" s="106"/>
      <c r="BJ98" s="106"/>
      <c r="BK98" s="106"/>
      <c r="BL98" s="106"/>
      <c r="BM98" s="106"/>
      <c r="BN98" s="106"/>
      <c r="BO98" s="106"/>
      <c r="BP98" s="106"/>
      <c r="BQ98" s="106"/>
      <c r="BR98" s="106"/>
      <c r="BS98" s="106"/>
      <c r="BT98" s="106"/>
      <c r="BU98" s="106"/>
      <c r="BV98" s="106"/>
      <c r="BW98" s="106"/>
    </row>
    <row r="99" spans="1:75" ht="12.75" customHeight="1">
      <c r="A99" s="183" t="s">
        <v>62</v>
      </c>
      <c r="B99" s="106"/>
      <c r="C99" s="106"/>
      <c r="D99" s="106"/>
      <c r="E99" s="106"/>
      <c r="F99" s="204">
        <v>197936</v>
      </c>
      <c r="G99" s="106"/>
      <c r="H99" s="106"/>
      <c r="I99" s="106"/>
      <c r="J99" s="106"/>
      <c r="K99" s="204">
        <v>135322</v>
      </c>
      <c r="L99" s="106"/>
      <c r="M99" s="106"/>
      <c r="N99" s="106"/>
      <c r="O99" s="106"/>
      <c r="P99" s="204">
        <v>197068</v>
      </c>
      <c r="Q99" s="106"/>
      <c r="R99" s="106"/>
      <c r="S99" s="106"/>
      <c r="T99" s="106"/>
      <c r="U99" s="204">
        <v>246309</v>
      </c>
      <c r="V99" s="88">
        <v>77636</v>
      </c>
      <c r="W99" s="88">
        <v>86124</v>
      </c>
      <c r="X99" s="88">
        <v>84612</v>
      </c>
      <c r="Y99" s="88">
        <v>107325</v>
      </c>
      <c r="Z99" s="204">
        <v>355697</v>
      </c>
      <c r="AA99" s="88">
        <f t="shared" si="4"/>
        <v>109083</v>
      </c>
      <c r="AB99" s="88">
        <v>111208</v>
      </c>
      <c r="AC99" s="88">
        <v>113269</v>
      </c>
      <c r="AD99" s="88">
        <v>117688</v>
      </c>
      <c r="AE99" s="204">
        <v>451248</v>
      </c>
      <c r="AF99" s="88">
        <v>111768</v>
      </c>
      <c r="AG99" s="88">
        <v>125151</v>
      </c>
      <c r="AH99" s="88">
        <v>124969</v>
      </c>
      <c r="AI99" s="88">
        <v>135728</v>
      </c>
      <c r="AJ99" s="204">
        <v>497616</v>
      </c>
      <c r="AK99" s="88">
        <v>138460</v>
      </c>
      <c r="AL99" s="88">
        <v>116859</v>
      </c>
      <c r="AM99" s="88">
        <v>115808</v>
      </c>
      <c r="AN99" s="88">
        <v>99329</v>
      </c>
      <c r="AO99" s="204">
        <v>470456</v>
      </c>
      <c r="AP99" s="88">
        <v>83825</v>
      </c>
      <c r="AQ99" s="88">
        <v>81149</v>
      </c>
      <c r="AR99" s="88">
        <v>108848</v>
      </c>
      <c r="AS99" s="88">
        <v>273822</v>
      </c>
      <c r="AT99" s="88">
        <v>114460</v>
      </c>
      <c r="AU99" s="100">
        <v>114459</v>
      </c>
      <c r="AV99" s="204">
        <v>388282</v>
      </c>
      <c r="AW99" s="309">
        <v>388281</v>
      </c>
      <c r="AX99" s="88">
        <v>119726</v>
      </c>
      <c r="AY99" s="88">
        <v>122258</v>
      </c>
      <c r="AZ99" s="88">
        <v>146501</v>
      </c>
      <c r="BA99" s="100">
        <v>146501</v>
      </c>
      <c r="BB99" s="100">
        <v>388485</v>
      </c>
      <c r="BC99" s="88">
        <v>135722</v>
      </c>
      <c r="BD99" s="204">
        <v>524207</v>
      </c>
      <c r="BE99" s="378"/>
      <c r="BF99" s="106"/>
      <c r="BG99" s="106"/>
      <c r="BH99" s="106"/>
      <c r="BI99" s="106"/>
      <c r="BJ99" s="106"/>
      <c r="BK99" s="106"/>
      <c r="BL99" s="106"/>
      <c r="BM99" s="106"/>
      <c r="BN99" s="106"/>
      <c r="BO99" s="106"/>
      <c r="BP99" s="106"/>
      <c r="BQ99" s="106"/>
      <c r="BR99" s="106"/>
      <c r="BS99" s="106"/>
      <c r="BT99" s="106"/>
      <c r="BU99" s="106"/>
      <c r="BV99" s="106"/>
      <c r="BW99" s="106"/>
    </row>
    <row r="100" spans="1:75" ht="12.75" customHeight="1">
      <c r="A100" s="183" t="s">
        <v>195</v>
      </c>
      <c r="B100" s="106"/>
      <c r="C100" s="106"/>
      <c r="D100" s="106"/>
      <c r="E100" s="106"/>
      <c r="F100" s="204">
        <v>43463</v>
      </c>
      <c r="G100" s="106"/>
      <c r="H100" s="106"/>
      <c r="I100" s="106"/>
      <c r="J100" s="106"/>
      <c r="K100" s="204">
        <v>35228</v>
      </c>
      <c r="L100" s="106"/>
      <c r="M100" s="106"/>
      <c r="N100" s="106"/>
      <c r="O100" s="106"/>
      <c r="P100" s="204">
        <v>25060</v>
      </c>
      <c r="Q100" s="106"/>
      <c r="R100" s="106"/>
      <c r="S100" s="106"/>
      <c r="T100" s="106"/>
      <c r="U100" s="204">
        <v>93006</v>
      </c>
      <c r="V100" s="88">
        <v>15351</v>
      </c>
      <c r="W100" s="88">
        <v>20025</v>
      </c>
      <c r="X100" s="88">
        <v>21854</v>
      </c>
      <c r="Y100" s="88">
        <v>40028</v>
      </c>
      <c r="Z100" s="204">
        <v>97258</v>
      </c>
      <c r="AA100" s="88">
        <f t="shared" si="4"/>
        <v>17138</v>
      </c>
      <c r="AB100" s="88">
        <v>22454</v>
      </c>
      <c r="AC100" s="88">
        <v>22937</v>
      </c>
      <c r="AD100" s="88">
        <v>40505</v>
      </c>
      <c r="AE100" s="204">
        <v>103034</v>
      </c>
      <c r="AF100" s="88">
        <v>15419</v>
      </c>
      <c r="AG100" s="88">
        <v>21803</v>
      </c>
      <c r="AH100" s="88">
        <v>22823</v>
      </c>
      <c r="AI100" s="88">
        <v>42118</v>
      </c>
      <c r="AJ100" s="204">
        <v>102163</v>
      </c>
      <c r="AK100" s="88">
        <v>20521</v>
      </c>
      <c r="AL100" s="88">
        <v>36220</v>
      </c>
      <c r="AM100" s="88">
        <v>39950</v>
      </c>
      <c r="AN100" s="88">
        <v>51837</v>
      </c>
      <c r="AO100" s="204">
        <v>148528</v>
      </c>
      <c r="AP100" s="88">
        <v>34319</v>
      </c>
      <c r="AQ100" s="88">
        <v>39126</v>
      </c>
      <c r="AR100" s="88">
        <v>26290</v>
      </c>
      <c r="AS100" s="88">
        <v>99735</v>
      </c>
      <c r="AT100" s="88">
        <v>46458</v>
      </c>
      <c r="AU100" s="100">
        <v>45513</v>
      </c>
      <c r="AV100" s="204">
        <v>146193</v>
      </c>
      <c r="AW100" s="309">
        <v>145248</v>
      </c>
      <c r="AX100" s="88">
        <v>21811</v>
      </c>
      <c r="AY100" s="88">
        <v>38507</v>
      </c>
      <c r="AZ100" s="88">
        <v>35400</v>
      </c>
      <c r="BA100" s="100">
        <v>42386</v>
      </c>
      <c r="BB100" s="100">
        <v>95718</v>
      </c>
      <c r="BC100" s="88">
        <v>37599</v>
      </c>
      <c r="BD100" s="204">
        <v>133317</v>
      </c>
      <c r="BE100" s="378"/>
      <c r="BF100" s="106"/>
      <c r="BG100" s="106"/>
      <c r="BH100" s="106"/>
      <c r="BI100" s="106"/>
      <c r="BJ100" s="106"/>
      <c r="BK100" s="106"/>
      <c r="BL100" s="106"/>
      <c r="BM100" s="106"/>
      <c r="BN100" s="106"/>
      <c r="BO100" s="106"/>
      <c r="BP100" s="106"/>
      <c r="BQ100" s="106"/>
      <c r="BR100" s="106"/>
      <c r="BS100" s="106"/>
      <c r="BT100" s="106"/>
      <c r="BU100" s="106"/>
      <c r="BV100" s="106"/>
      <c r="BW100" s="106"/>
    </row>
    <row r="101" spans="1:75" ht="12.75" customHeight="1">
      <c r="A101" s="184" t="s">
        <v>196</v>
      </c>
      <c r="B101" s="106"/>
      <c r="C101" s="106"/>
      <c r="D101" s="106"/>
      <c r="E101" s="106"/>
      <c r="F101" s="205">
        <v>1641697</v>
      </c>
      <c r="G101" s="106"/>
      <c r="H101" s="106"/>
      <c r="I101" s="106"/>
      <c r="J101" s="106"/>
      <c r="K101" s="205">
        <v>1404370</v>
      </c>
      <c r="L101" s="106"/>
      <c r="M101" s="106"/>
      <c r="N101" s="106"/>
      <c r="O101" s="106"/>
      <c r="P101" s="205">
        <v>1821071</v>
      </c>
      <c r="Q101" s="106"/>
      <c r="R101" s="106"/>
      <c r="S101" s="106"/>
      <c r="T101" s="106"/>
      <c r="U101" s="205">
        <v>2436573</v>
      </c>
      <c r="V101" s="96">
        <v>711925</v>
      </c>
      <c r="W101" s="96">
        <v>706018</v>
      </c>
      <c r="X101" s="96">
        <v>772198</v>
      </c>
      <c r="Y101" s="96">
        <v>981446</v>
      </c>
      <c r="Z101" s="205">
        <v>3171587</v>
      </c>
      <c r="AA101" s="96">
        <f t="shared" si="4"/>
        <v>1019039</v>
      </c>
      <c r="AB101" s="96">
        <v>885014</v>
      </c>
      <c r="AC101" s="96">
        <v>936786</v>
      </c>
      <c r="AD101" s="96">
        <v>802503</v>
      </c>
      <c r="AE101" s="205">
        <v>3643342</v>
      </c>
      <c r="AF101" s="96">
        <v>661369</v>
      </c>
      <c r="AG101" s="96">
        <v>779750</v>
      </c>
      <c r="AH101" s="96">
        <v>858737</v>
      </c>
      <c r="AI101" s="96">
        <v>1015837</v>
      </c>
      <c r="AJ101" s="205">
        <v>3315693</v>
      </c>
      <c r="AK101" s="96">
        <v>1006694</v>
      </c>
      <c r="AL101" s="96">
        <v>1143547</v>
      </c>
      <c r="AM101" s="96">
        <v>1204922</v>
      </c>
      <c r="AN101" s="96">
        <v>1037530</v>
      </c>
      <c r="AO101" s="205">
        <v>4392693</v>
      </c>
      <c r="AP101" s="96">
        <v>821045</v>
      </c>
      <c r="AQ101" s="96">
        <v>846485</v>
      </c>
      <c r="AR101" s="96">
        <v>1096553</v>
      </c>
      <c r="AS101" s="96">
        <v>2764083</v>
      </c>
      <c r="AT101" s="96">
        <f>SUM(AT96:AT100)</f>
        <v>1084904</v>
      </c>
      <c r="AU101" s="294">
        <v>1078481</v>
      </c>
      <c r="AV101" s="204">
        <f>SUM(AV96:AV100)</f>
        <v>3848987</v>
      </c>
      <c r="AW101" s="309">
        <v>3842564</v>
      </c>
      <c r="AX101" s="96">
        <v>996460</v>
      </c>
      <c r="AY101" s="96">
        <v>1177217</v>
      </c>
      <c r="AZ101" s="96">
        <v>1289167</v>
      </c>
      <c r="BA101" s="294">
        <v>1547566</v>
      </c>
      <c r="BB101" s="294">
        <v>3462844</v>
      </c>
      <c r="BC101" s="96">
        <v>1196480</v>
      </c>
      <c r="BD101" s="204">
        <v>4659324</v>
      </c>
      <c r="BE101" s="386"/>
      <c r="BF101" s="108"/>
      <c r="BG101" s="108"/>
      <c r="BH101" s="108"/>
      <c r="BI101" s="108"/>
      <c r="BJ101" s="106"/>
      <c r="BK101" s="106"/>
      <c r="BL101" s="108"/>
      <c r="BM101" s="106"/>
      <c r="BN101" s="106"/>
      <c r="BO101" s="108"/>
      <c r="BP101" s="108"/>
      <c r="BQ101" s="108"/>
      <c r="BR101" s="106"/>
      <c r="BS101" s="108"/>
      <c r="BT101" s="108"/>
      <c r="BU101" s="108"/>
      <c r="BV101" s="108"/>
      <c r="BW101" s="106"/>
    </row>
    <row r="102" spans="1:75" ht="12.75" customHeight="1">
      <c r="A102" s="182" t="s">
        <v>197</v>
      </c>
      <c r="B102" s="106"/>
      <c r="C102" s="106"/>
      <c r="D102" s="106"/>
      <c r="E102" s="106"/>
      <c r="F102" s="204">
        <v>-466928</v>
      </c>
      <c r="G102" s="106"/>
      <c r="H102" s="106"/>
      <c r="I102" s="106"/>
      <c r="J102" s="106"/>
      <c r="K102" s="204">
        <v>-244713</v>
      </c>
      <c r="L102" s="106"/>
      <c r="M102" s="106"/>
      <c r="N102" s="106"/>
      <c r="O102" s="106"/>
      <c r="P102" s="204">
        <v>-317033</v>
      </c>
      <c r="Q102" s="106"/>
      <c r="R102" s="106"/>
      <c r="S102" s="106"/>
      <c r="T102" s="106"/>
      <c r="U102" s="204">
        <v>-480743</v>
      </c>
      <c r="V102" s="88">
        <v>-140696</v>
      </c>
      <c r="W102" s="88">
        <v>-160964</v>
      </c>
      <c r="X102" s="88">
        <v>-186439</v>
      </c>
      <c r="Y102" s="88">
        <v>-228324</v>
      </c>
      <c r="Z102" s="204">
        <v>-716423</v>
      </c>
      <c r="AA102" s="88">
        <f t="shared" si="4"/>
        <v>-220370</v>
      </c>
      <c r="AB102" s="88">
        <v>-182845</v>
      </c>
      <c r="AC102" s="88">
        <v>-174479</v>
      </c>
      <c r="AD102" s="88">
        <v>-174587</v>
      </c>
      <c r="AE102" s="204">
        <v>-752281</v>
      </c>
      <c r="AF102" s="88">
        <v>-145533</v>
      </c>
      <c r="AG102" s="88">
        <v>-173194</v>
      </c>
      <c r="AH102" s="88">
        <v>-173604</v>
      </c>
      <c r="AI102" s="88">
        <v>-229411</v>
      </c>
      <c r="AJ102" s="204">
        <v>-721742</v>
      </c>
      <c r="AK102" s="88">
        <v>-220566</v>
      </c>
      <c r="AL102" s="88">
        <v>-223080</v>
      </c>
      <c r="AM102" s="88">
        <v>-228463</v>
      </c>
      <c r="AN102" s="88">
        <v>-185500</v>
      </c>
      <c r="AO102" s="204">
        <v>-857609</v>
      </c>
      <c r="AP102" s="88">
        <v>-188470</v>
      </c>
      <c r="AQ102" s="88">
        <v>-147912</v>
      </c>
      <c r="AR102" s="88">
        <v>-337489</v>
      </c>
      <c r="AS102" s="88">
        <v>-673871</v>
      </c>
      <c r="AT102" s="88">
        <v>-289262</v>
      </c>
      <c r="AU102" s="100">
        <v>-288929</v>
      </c>
      <c r="AV102" s="204">
        <v>-963133</v>
      </c>
      <c r="AW102" s="309">
        <v>-962800</v>
      </c>
      <c r="AX102" s="88">
        <v>-294582</v>
      </c>
      <c r="AY102" s="88">
        <v>-306774</v>
      </c>
      <c r="AZ102" s="88">
        <v>-328509</v>
      </c>
      <c r="BA102" s="100">
        <v>-357713</v>
      </c>
      <c r="BB102" s="100">
        <v>-929865</v>
      </c>
      <c r="BC102" s="88">
        <v>-263302</v>
      </c>
      <c r="BD102" s="204">
        <v>-1193167</v>
      </c>
      <c r="BE102" s="378"/>
      <c r="BF102" s="106"/>
      <c r="BG102" s="106"/>
      <c r="BH102" s="106"/>
      <c r="BI102" s="106"/>
      <c r="BJ102" s="106"/>
      <c r="BK102" s="106"/>
      <c r="BL102" s="106"/>
      <c r="BM102" s="106"/>
      <c r="BN102" s="106"/>
      <c r="BO102" s="106"/>
      <c r="BP102" s="106"/>
      <c r="BQ102" s="106"/>
      <c r="BR102" s="106"/>
      <c r="BS102" s="106"/>
      <c r="BT102" s="106"/>
      <c r="BU102" s="106"/>
      <c r="BV102" s="106"/>
      <c r="BW102" s="106"/>
    </row>
    <row r="103" spans="1:75" ht="12.75" customHeight="1">
      <c r="A103" s="182" t="s">
        <v>198</v>
      </c>
      <c r="B103" s="106"/>
      <c r="C103" s="106"/>
      <c r="D103" s="106"/>
      <c r="E103" s="106"/>
      <c r="F103" s="204">
        <v>-159444</v>
      </c>
      <c r="G103" s="106"/>
      <c r="H103" s="106"/>
      <c r="I103" s="106"/>
      <c r="J103" s="106"/>
      <c r="K103" s="204">
        <v>-123532</v>
      </c>
      <c r="L103" s="106"/>
      <c r="M103" s="106"/>
      <c r="N103" s="106"/>
      <c r="O103" s="106"/>
      <c r="P103" s="204">
        <v>-141170</v>
      </c>
      <c r="Q103" s="106"/>
      <c r="R103" s="106"/>
      <c r="S103" s="106"/>
      <c r="T103" s="106"/>
      <c r="U103" s="204">
        <v>-168193</v>
      </c>
      <c r="V103" s="88">
        <v>-53588</v>
      </c>
      <c r="W103" s="88">
        <v>-55878</v>
      </c>
      <c r="X103" s="88">
        <v>-70651</v>
      </c>
      <c r="Y103" s="88">
        <v>-78730</v>
      </c>
      <c r="Z103" s="204">
        <v>-258847</v>
      </c>
      <c r="AA103" s="88">
        <f t="shared" si="4"/>
        <v>-91139</v>
      </c>
      <c r="AB103" s="88">
        <v>-45974</v>
      </c>
      <c r="AC103" s="88">
        <v>-50173</v>
      </c>
      <c r="AD103" s="88">
        <v>-39975</v>
      </c>
      <c r="AE103" s="204">
        <v>-227261</v>
      </c>
      <c r="AF103" s="88">
        <v>-34306</v>
      </c>
      <c r="AG103" s="88">
        <v>-37046</v>
      </c>
      <c r="AH103" s="88">
        <v>-39889</v>
      </c>
      <c r="AI103" s="88">
        <v>-44761</v>
      </c>
      <c r="AJ103" s="204">
        <v>-156002</v>
      </c>
      <c r="AK103" s="88">
        <v>-48525</v>
      </c>
      <c r="AL103" s="88">
        <v>-56044</v>
      </c>
      <c r="AM103" s="88">
        <v>-46535</v>
      </c>
      <c r="AN103" s="88">
        <v>-40370</v>
      </c>
      <c r="AO103" s="204">
        <v>-191474</v>
      </c>
      <c r="AP103" s="88">
        <v>-46354</v>
      </c>
      <c r="AQ103" s="88">
        <v>-23712</v>
      </c>
      <c r="AR103" s="88">
        <v>-36068</v>
      </c>
      <c r="AS103" s="88">
        <v>-106134</v>
      </c>
      <c r="AT103" s="88">
        <v>-40555</v>
      </c>
      <c r="AU103" s="100">
        <v>-40556</v>
      </c>
      <c r="AV103" s="204">
        <v>-146689</v>
      </c>
      <c r="AW103" s="309">
        <v>-146690</v>
      </c>
      <c r="AX103" s="88">
        <v>-40745</v>
      </c>
      <c r="AY103" s="88">
        <v>-46073</v>
      </c>
      <c r="AZ103" s="88">
        <v>-41529</v>
      </c>
      <c r="BA103" s="100">
        <v>-61845</v>
      </c>
      <c r="BB103" s="100">
        <v>-128347</v>
      </c>
      <c r="BC103" s="88">
        <v>-42462</v>
      </c>
      <c r="BD103" s="204">
        <v>-170809</v>
      </c>
      <c r="BE103" s="378"/>
      <c r="BF103" s="106"/>
      <c r="BG103" s="106"/>
      <c r="BH103" s="106"/>
      <c r="BI103" s="106"/>
      <c r="BJ103" s="106"/>
      <c r="BK103" s="106"/>
      <c r="BL103" s="106"/>
      <c r="BM103" s="106"/>
      <c r="BN103" s="106"/>
      <c r="BO103" s="106"/>
      <c r="BP103" s="106"/>
      <c r="BQ103" s="106"/>
      <c r="BR103" s="106"/>
      <c r="BS103" s="106"/>
      <c r="BT103" s="106"/>
      <c r="BU103" s="106"/>
      <c r="BV103" s="106"/>
      <c r="BW103" s="106"/>
    </row>
    <row r="104" spans="1:75" ht="12.75" customHeight="1">
      <c r="A104" s="182" t="s">
        <v>199</v>
      </c>
      <c r="B104" s="106"/>
      <c r="C104" s="106"/>
      <c r="D104" s="106"/>
      <c r="E104" s="106"/>
      <c r="F104" s="204">
        <v>-209476</v>
      </c>
      <c r="G104" s="106"/>
      <c r="H104" s="106"/>
      <c r="I104" s="106"/>
      <c r="J104" s="106"/>
      <c r="K104" s="204">
        <v>-75280</v>
      </c>
      <c r="L104" s="106"/>
      <c r="M104" s="106"/>
      <c r="N104" s="106"/>
      <c r="O104" s="106"/>
      <c r="P104" s="204">
        <v>-117743</v>
      </c>
      <c r="Q104" s="106"/>
      <c r="R104" s="106"/>
      <c r="S104" s="106"/>
      <c r="T104" s="106"/>
      <c r="U104" s="204">
        <v>-164352</v>
      </c>
      <c r="V104" s="88">
        <v>-51767</v>
      </c>
      <c r="W104" s="88">
        <v>-61056</v>
      </c>
      <c r="X104" s="88">
        <v>-71837</v>
      </c>
      <c r="Y104" s="88">
        <v>-82802</v>
      </c>
      <c r="Z104" s="204">
        <v>-267462</v>
      </c>
      <c r="AA104" s="88">
        <f t="shared" si="4"/>
        <v>-82210</v>
      </c>
      <c r="AB104" s="88">
        <v>-90328</v>
      </c>
      <c r="AC104" s="88">
        <v>-78247</v>
      </c>
      <c r="AD104" s="88">
        <v>-73606</v>
      </c>
      <c r="AE104" s="204">
        <v>-324391</v>
      </c>
      <c r="AF104" s="88">
        <v>-75768</v>
      </c>
      <c r="AG104" s="88">
        <v>-89307</v>
      </c>
      <c r="AH104" s="88">
        <v>-87789</v>
      </c>
      <c r="AI104" s="88">
        <v>-105260</v>
      </c>
      <c r="AJ104" s="204">
        <v>-358124</v>
      </c>
      <c r="AK104" s="88">
        <v>-112598</v>
      </c>
      <c r="AL104" s="88">
        <v>-97592</v>
      </c>
      <c r="AM104" s="88">
        <v>-101230</v>
      </c>
      <c r="AN104" s="88">
        <v>-65680</v>
      </c>
      <c r="AO104" s="204">
        <v>-377100</v>
      </c>
      <c r="AP104" s="88">
        <v>-70463</v>
      </c>
      <c r="AQ104" s="88">
        <v>-61253</v>
      </c>
      <c r="AR104" s="88">
        <v>-89113</v>
      </c>
      <c r="AS104" s="88">
        <v>-220829</v>
      </c>
      <c r="AT104" s="88">
        <v>-98093</v>
      </c>
      <c r="AU104" s="100">
        <v>-98096</v>
      </c>
      <c r="AV104" s="204">
        <v>-318922</v>
      </c>
      <c r="AW104" s="309">
        <v>-318925</v>
      </c>
      <c r="AX104" s="88">
        <v>-111156</v>
      </c>
      <c r="AY104" s="88">
        <v>-108716</v>
      </c>
      <c r="AZ104" s="88">
        <v>-125402</v>
      </c>
      <c r="BA104" s="100">
        <v>-127739</v>
      </c>
      <c r="BB104" s="100">
        <v>-345274</v>
      </c>
      <c r="BC104" s="88">
        <v>-119075</v>
      </c>
      <c r="BD104" s="204">
        <v>-464349</v>
      </c>
      <c r="BE104" s="378"/>
      <c r="BF104" s="106"/>
      <c r="BG104" s="106"/>
      <c r="BH104" s="106"/>
      <c r="BI104" s="106"/>
      <c r="BJ104" s="106"/>
      <c r="BK104" s="106"/>
      <c r="BL104" s="106"/>
      <c r="BM104" s="106"/>
      <c r="BN104" s="106"/>
      <c r="BO104" s="106"/>
      <c r="BP104" s="106"/>
      <c r="BQ104" s="106"/>
      <c r="BR104" s="106"/>
      <c r="BS104" s="106"/>
      <c r="BT104" s="106"/>
      <c r="BU104" s="106"/>
      <c r="BV104" s="106"/>
      <c r="BW104" s="106"/>
    </row>
    <row r="105" spans="1:75" ht="12.75" customHeight="1">
      <c r="A105" s="182" t="s">
        <v>200</v>
      </c>
      <c r="B105" s="106"/>
      <c r="C105" s="106"/>
      <c r="D105" s="106"/>
      <c r="E105" s="106"/>
      <c r="F105" s="204">
        <v>-24869</v>
      </c>
      <c r="G105" s="106"/>
      <c r="H105" s="106"/>
      <c r="I105" s="106"/>
      <c r="J105" s="106"/>
      <c r="K105" s="204">
        <v>-17997</v>
      </c>
      <c r="L105" s="106"/>
      <c r="M105" s="106"/>
      <c r="N105" s="106"/>
      <c r="O105" s="106"/>
      <c r="P105" s="204">
        <v>-8942</v>
      </c>
      <c r="Q105" s="106"/>
      <c r="R105" s="106"/>
      <c r="S105" s="106"/>
      <c r="T105" s="106"/>
      <c r="U105" s="204">
        <v>-10935</v>
      </c>
      <c r="V105" s="88">
        <v>-4143</v>
      </c>
      <c r="W105" s="88">
        <v>-5028</v>
      </c>
      <c r="X105" s="88">
        <v>-4754</v>
      </c>
      <c r="Y105" s="88">
        <v>-6505</v>
      </c>
      <c r="Z105" s="204">
        <v>-20430</v>
      </c>
      <c r="AA105" s="88">
        <f t="shared" si="4"/>
        <v>-7786</v>
      </c>
      <c r="AB105" s="88">
        <v>-363</v>
      </c>
      <c r="AC105" s="88">
        <v>-27</v>
      </c>
      <c r="AD105" s="88">
        <v>-85</v>
      </c>
      <c r="AE105" s="204">
        <v>-8261</v>
      </c>
      <c r="AF105" s="88">
        <v>-85</v>
      </c>
      <c r="AG105" s="88">
        <v>-42</v>
      </c>
      <c r="AH105" s="88">
        <v>-36</v>
      </c>
      <c r="AI105" s="88">
        <v>-12287</v>
      </c>
      <c r="AJ105" s="204">
        <v>-12450</v>
      </c>
      <c r="AK105" s="88">
        <v>-8692</v>
      </c>
      <c r="AL105" s="88">
        <v>-8497</v>
      </c>
      <c r="AM105" s="88">
        <v>-17223</v>
      </c>
      <c r="AN105" s="88">
        <v>-18986</v>
      </c>
      <c r="AO105" s="204">
        <v>-53398</v>
      </c>
      <c r="AP105" s="88">
        <v>-18465</v>
      </c>
      <c r="AQ105" s="88">
        <v>-12842</v>
      </c>
      <c r="AR105" s="88">
        <v>-161004</v>
      </c>
      <c r="AS105" s="88">
        <v>-192311</v>
      </c>
      <c r="AT105" s="88">
        <v>-84557</v>
      </c>
      <c r="AU105" s="100">
        <v>-84642</v>
      </c>
      <c r="AV105" s="204">
        <v>-276868</v>
      </c>
      <c r="AW105" s="309">
        <v>-276953</v>
      </c>
      <c r="AX105" s="88">
        <v>-93049</v>
      </c>
      <c r="AY105" s="88">
        <v>-88865</v>
      </c>
      <c r="AZ105" s="88">
        <v>-99633</v>
      </c>
      <c r="BA105" s="100">
        <v>-100012</v>
      </c>
      <c r="BB105" s="100">
        <v>-281547</v>
      </c>
      <c r="BC105" s="88">
        <v>-44391</v>
      </c>
      <c r="BD105" s="204">
        <v>-325938</v>
      </c>
      <c r="BE105" s="378"/>
      <c r="BF105" s="106"/>
      <c r="BG105" s="106"/>
      <c r="BH105" s="106"/>
      <c r="BI105" s="106"/>
      <c r="BJ105" s="106"/>
      <c r="BK105" s="106"/>
      <c r="BL105" s="106"/>
      <c r="BM105" s="106"/>
      <c r="BN105" s="106"/>
      <c r="BO105" s="106"/>
      <c r="BP105" s="106"/>
      <c r="BQ105" s="106"/>
      <c r="BR105" s="106"/>
      <c r="BS105" s="106"/>
      <c r="BT105" s="106"/>
      <c r="BU105" s="106"/>
      <c r="BV105" s="106"/>
      <c r="BW105" s="106"/>
    </row>
    <row r="106" spans="1:75" ht="12.75" customHeight="1">
      <c r="A106" s="182" t="s">
        <v>201</v>
      </c>
      <c r="B106" s="106"/>
      <c r="C106" s="106"/>
      <c r="D106" s="106"/>
      <c r="E106" s="106"/>
      <c r="F106" s="204">
        <v>-58795</v>
      </c>
      <c r="G106" s="106"/>
      <c r="H106" s="106"/>
      <c r="I106" s="106"/>
      <c r="J106" s="106"/>
      <c r="K106" s="204">
        <v>-12308</v>
      </c>
      <c r="L106" s="106"/>
      <c r="M106" s="106"/>
      <c r="N106" s="106"/>
      <c r="O106" s="106"/>
      <c r="P106" s="204">
        <v>-28062</v>
      </c>
      <c r="Q106" s="106"/>
      <c r="R106" s="106"/>
      <c r="S106" s="106"/>
      <c r="T106" s="106"/>
      <c r="U106" s="204">
        <v>-48770</v>
      </c>
      <c r="V106" s="88">
        <v>-17183</v>
      </c>
      <c r="W106" s="88">
        <v>-19701</v>
      </c>
      <c r="X106" s="88">
        <v>-19741</v>
      </c>
      <c r="Y106" s="88">
        <v>-23111</v>
      </c>
      <c r="Z106" s="204">
        <v>-79736</v>
      </c>
      <c r="AA106" s="88">
        <f t="shared" si="4"/>
        <v>-23527</v>
      </c>
      <c r="AB106" s="88">
        <v>-24601</v>
      </c>
      <c r="AC106" s="88">
        <v>-24190</v>
      </c>
      <c r="AD106" s="88">
        <v>-23074</v>
      </c>
      <c r="AE106" s="204">
        <v>-95392</v>
      </c>
      <c r="AF106" s="88">
        <v>-21932</v>
      </c>
      <c r="AG106" s="88">
        <v>-26492</v>
      </c>
      <c r="AH106" s="88">
        <v>-24751</v>
      </c>
      <c r="AI106" s="88">
        <v>-26260</v>
      </c>
      <c r="AJ106" s="204">
        <v>-99435</v>
      </c>
      <c r="AK106" s="88">
        <v>-31610</v>
      </c>
      <c r="AL106" s="88">
        <v>-26067</v>
      </c>
      <c r="AM106" s="88">
        <v>-27369</v>
      </c>
      <c r="AN106" s="88">
        <v>-19320</v>
      </c>
      <c r="AO106" s="204">
        <v>-104366</v>
      </c>
      <c r="AP106" s="88">
        <v>-21053</v>
      </c>
      <c r="AQ106" s="88">
        <v>-19897</v>
      </c>
      <c r="AR106" s="88">
        <v>-28791</v>
      </c>
      <c r="AS106" s="88">
        <v>-69741</v>
      </c>
      <c r="AT106" s="88">
        <v>-29302</v>
      </c>
      <c r="AU106" s="100">
        <v>-29302</v>
      </c>
      <c r="AV106" s="204">
        <v>-99043</v>
      </c>
      <c r="AW106" s="309">
        <v>-99043</v>
      </c>
      <c r="AX106" s="88">
        <v>-32239</v>
      </c>
      <c r="AY106" s="88">
        <v>-20342</v>
      </c>
      <c r="AZ106" s="88">
        <v>-45429</v>
      </c>
      <c r="BA106" s="100">
        <v>-45450</v>
      </c>
      <c r="BB106" s="100">
        <v>-98010</v>
      </c>
      <c r="BC106" s="88">
        <v>-30451</v>
      </c>
      <c r="BD106" s="204">
        <v>-128461</v>
      </c>
      <c r="BE106" s="378"/>
      <c r="BF106" s="106"/>
      <c r="BG106" s="106"/>
      <c r="BH106" s="106"/>
      <c r="BI106" s="106"/>
      <c r="BJ106" s="106"/>
      <c r="BK106" s="106"/>
      <c r="BL106" s="106"/>
      <c r="BM106" s="106"/>
      <c r="BN106" s="106"/>
      <c r="BO106" s="106"/>
      <c r="BP106" s="106"/>
      <c r="BQ106" s="106"/>
      <c r="BR106" s="106"/>
      <c r="BS106" s="106"/>
      <c r="BT106" s="106"/>
      <c r="BU106" s="106"/>
      <c r="BV106" s="106"/>
      <c r="BW106" s="106"/>
    </row>
    <row r="107" spans="1:75" ht="12.75" customHeight="1">
      <c r="A107" s="182" t="s">
        <v>202</v>
      </c>
      <c r="B107" s="106"/>
      <c r="C107" s="106"/>
      <c r="D107" s="106"/>
      <c r="E107" s="106"/>
      <c r="F107" s="204">
        <v>-14344</v>
      </c>
      <c r="G107" s="106"/>
      <c r="H107" s="106"/>
      <c r="I107" s="106"/>
      <c r="J107" s="106"/>
      <c r="K107" s="204">
        <v>-15596</v>
      </c>
      <c r="L107" s="106"/>
      <c r="M107" s="106"/>
      <c r="N107" s="106"/>
      <c r="O107" s="106"/>
      <c r="P107" s="204">
        <v>-21116</v>
      </c>
      <c r="Q107" s="106"/>
      <c r="R107" s="106"/>
      <c r="S107" s="106"/>
      <c r="T107" s="106"/>
      <c r="U107" s="204">
        <v>-88493</v>
      </c>
      <c r="V107" s="88">
        <v>-14015</v>
      </c>
      <c r="W107" s="88">
        <v>-19301</v>
      </c>
      <c r="X107" s="88">
        <v>-19456</v>
      </c>
      <c r="Y107" s="88">
        <v>-37176</v>
      </c>
      <c r="Z107" s="204">
        <v>-89948</v>
      </c>
      <c r="AA107" s="88">
        <f t="shared" si="4"/>
        <v>-15708</v>
      </c>
      <c r="AB107" s="88">
        <v>-21579</v>
      </c>
      <c r="AC107" s="88">
        <v>-21842</v>
      </c>
      <c r="AD107" s="88">
        <v>-37847</v>
      </c>
      <c r="AE107" s="204">
        <v>-96976</v>
      </c>
      <c r="AF107" s="88">
        <v>-13442</v>
      </c>
      <c r="AG107" s="88">
        <v>-20307</v>
      </c>
      <c r="AH107" s="88">
        <v>-21139</v>
      </c>
      <c r="AI107" s="88">
        <v>-40843</v>
      </c>
      <c r="AJ107" s="204">
        <v>-95731</v>
      </c>
      <c r="AK107" s="88">
        <v>-19141</v>
      </c>
      <c r="AL107" s="88">
        <v>-34880</v>
      </c>
      <c r="AM107" s="88">
        <v>-36106</v>
      </c>
      <c r="AN107" s="88">
        <v>-41144</v>
      </c>
      <c r="AO107" s="204">
        <v>-131271</v>
      </c>
      <c r="AP107" s="88">
        <v>-32135</v>
      </c>
      <c r="AQ107" s="88">
        <v>-30208</v>
      </c>
      <c r="AR107" s="88">
        <v>-22513</v>
      </c>
      <c r="AS107" s="88">
        <v>-84856</v>
      </c>
      <c r="AT107" s="88">
        <v>-36755</v>
      </c>
      <c r="AU107" s="100">
        <v>-36333</v>
      </c>
      <c r="AV107" s="204">
        <v>-121611</v>
      </c>
      <c r="AW107" s="309">
        <v>-121189</v>
      </c>
      <c r="AX107" s="88">
        <v>-17393</v>
      </c>
      <c r="AY107" s="88">
        <v>-42778</v>
      </c>
      <c r="AZ107" s="88">
        <v>-16516</v>
      </c>
      <c r="BA107" s="100">
        <v>-22667</v>
      </c>
      <c r="BB107" s="100">
        <v>-76687</v>
      </c>
      <c r="BC107" s="88">
        <v>-26923</v>
      </c>
      <c r="BD107" s="204">
        <v>-103610</v>
      </c>
      <c r="BE107" s="378"/>
      <c r="BF107" s="106"/>
      <c r="BG107" s="106"/>
      <c r="BH107" s="106"/>
      <c r="BI107" s="106"/>
      <c r="BJ107" s="106"/>
      <c r="BK107" s="106"/>
      <c r="BL107" s="106"/>
      <c r="BM107" s="106"/>
      <c r="BN107" s="106"/>
      <c r="BO107" s="106"/>
      <c r="BP107" s="106"/>
      <c r="BQ107" s="106"/>
      <c r="BR107" s="106"/>
      <c r="BS107" s="106"/>
      <c r="BT107" s="106"/>
      <c r="BU107" s="106"/>
      <c r="BV107" s="106"/>
      <c r="BW107" s="106"/>
    </row>
    <row r="108" spans="1:75" ht="12.75" customHeight="1">
      <c r="A108" s="185" t="s">
        <v>203</v>
      </c>
      <c r="B108" s="106"/>
      <c r="C108" s="106"/>
      <c r="D108" s="106"/>
      <c r="E108" s="106"/>
      <c r="F108" s="205">
        <v>1174769</v>
      </c>
      <c r="G108" s="106"/>
      <c r="H108" s="106"/>
      <c r="I108" s="106"/>
      <c r="J108" s="106"/>
      <c r="K108" s="205">
        <v>1159657</v>
      </c>
      <c r="L108" s="106"/>
      <c r="M108" s="106"/>
      <c r="N108" s="106"/>
      <c r="O108" s="106"/>
      <c r="P108" s="205">
        <v>1504038</v>
      </c>
      <c r="Q108" s="106"/>
      <c r="R108" s="106"/>
      <c r="S108" s="106"/>
      <c r="T108" s="106"/>
      <c r="U108" s="205">
        <v>1955830</v>
      </c>
      <c r="V108" s="96">
        <v>571229</v>
      </c>
      <c r="W108" s="96">
        <v>545054</v>
      </c>
      <c r="X108" s="96">
        <v>585759</v>
      </c>
      <c r="Y108" s="96">
        <v>753122</v>
      </c>
      <c r="Z108" s="205">
        <v>2455164</v>
      </c>
      <c r="AA108" s="96">
        <f t="shared" si="4"/>
        <v>798669</v>
      </c>
      <c r="AB108" s="96">
        <v>702169</v>
      </c>
      <c r="AC108" s="96">
        <v>762307</v>
      </c>
      <c r="AD108" s="96">
        <v>627916</v>
      </c>
      <c r="AE108" s="205">
        <v>2891061</v>
      </c>
      <c r="AF108" s="96">
        <v>515836</v>
      </c>
      <c r="AG108" s="96">
        <v>606556</v>
      </c>
      <c r="AH108" s="96">
        <v>685133</v>
      </c>
      <c r="AI108" s="96">
        <v>786426</v>
      </c>
      <c r="AJ108" s="205">
        <v>2593951</v>
      </c>
      <c r="AK108" s="96">
        <v>786128</v>
      </c>
      <c r="AL108" s="96">
        <v>920467</v>
      </c>
      <c r="AM108" s="96">
        <v>976459</v>
      </c>
      <c r="AN108" s="96">
        <v>852030</v>
      </c>
      <c r="AO108" s="205">
        <v>3535084</v>
      </c>
      <c r="AP108" s="96">
        <v>632575</v>
      </c>
      <c r="AQ108" s="96">
        <v>698573</v>
      </c>
      <c r="AR108" s="96">
        <v>759064</v>
      </c>
      <c r="AS108" s="96">
        <v>2090212</v>
      </c>
      <c r="AT108" s="96">
        <v>795642</v>
      </c>
      <c r="AU108" s="294">
        <v>789552</v>
      </c>
      <c r="AV108" s="204">
        <v>2885854</v>
      </c>
      <c r="AW108" s="309">
        <v>2879764</v>
      </c>
      <c r="AX108" s="96">
        <v>701878</v>
      </c>
      <c r="AY108" s="96">
        <v>870443</v>
      </c>
      <c r="AZ108" s="96">
        <v>960658</v>
      </c>
      <c r="BA108" s="294">
        <v>1189853</v>
      </c>
      <c r="BB108" s="294">
        <v>2532979</v>
      </c>
      <c r="BC108" s="96">
        <v>933178</v>
      </c>
      <c r="BD108" s="204">
        <v>3466157</v>
      </c>
      <c r="BE108" s="386"/>
      <c r="BF108" s="108"/>
      <c r="BG108" s="108"/>
      <c r="BH108" s="108"/>
      <c r="BI108" s="108"/>
      <c r="BJ108" s="106"/>
      <c r="BK108" s="106"/>
      <c r="BL108" s="108"/>
      <c r="BM108" s="106"/>
      <c r="BN108" s="106"/>
      <c r="BO108" s="108"/>
      <c r="BP108" s="108"/>
      <c r="BQ108" s="108"/>
      <c r="BR108" s="106"/>
      <c r="BS108" s="108"/>
      <c r="BT108" s="108"/>
      <c r="BU108" s="108"/>
      <c r="BV108" s="108"/>
      <c r="BW108" s="106"/>
    </row>
    <row r="109" spans="1:75" ht="12.75" customHeight="1">
      <c r="A109" s="125"/>
      <c r="F109" s="116"/>
      <c r="K109" s="116"/>
      <c r="P109" s="116"/>
      <c r="U109" s="116"/>
      <c r="V109" s="116"/>
      <c r="W109" s="116"/>
      <c r="X109" s="116"/>
      <c r="Y109" s="116"/>
      <c r="Z109" s="116"/>
      <c r="AA109" s="116"/>
      <c r="AB109" s="116"/>
      <c r="AC109" s="116"/>
      <c r="AD109" s="116"/>
      <c r="AE109" s="116"/>
      <c r="AF109" s="116"/>
      <c r="AG109" s="116"/>
      <c r="AH109" s="116"/>
      <c r="AI109" s="116"/>
      <c r="AJ109" s="116"/>
      <c r="AK109" s="116"/>
      <c r="AL109" s="116"/>
      <c r="AP109" s="116"/>
      <c r="AQ109" s="116"/>
      <c r="AX109" s="116"/>
      <c r="AY109" s="116"/>
      <c r="AZ109" s="116"/>
      <c r="BA109" s="302"/>
      <c r="BB109" s="302"/>
      <c r="BC109" s="116"/>
      <c r="BE109" s="386"/>
      <c r="BF109" s="108"/>
      <c r="BG109" s="108"/>
      <c r="BH109" s="108"/>
      <c r="BI109" s="108"/>
      <c r="BJ109" s="106"/>
      <c r="BK109" s="106"/>
      <c r="BL109" s="108"/>
      <c r="BM109" s="106"/>
      <c r="BN109" s="106"/>
      <c r="BO109" s="108"/>
      <c r="BP109" s="108"/>
      <c r="BQ109" s="108"/>
      <c r="BR109" s="106"/>
      <c r="BS109" s="108"/>
      <c r="BT109" s="108"/>
      <c r="BU109" s="108"/>
      <c r="BV109" s="108"/>
      <c r="BW109" s="106"/>
    </row>
    <row r="110" spans="57:75" ht="12.75">
      <c r="BE110" s="378"/>
      <c r="BF110" s="106"/>
      <c r="BG110" s="106"/>
      <c r="BH110" s="106"/>
      <c r="BI110" s="106"/>
      <c r="BJ110" s="106"/>
      <c r="BK110" s="106"/>
      <c r="BL110" s="106"/>
      <c r="BM110" s="106"/>
      <c r="BN110" s="106"/>
      <c r="BO110" s="106"/>
      <c r="BP110" s="106"/>
      <c r="BQ110" s="106"/>
      <c r="BR110" s="106"/>
      <c r="BS110" s="106"/>
      <c r="BT110" s="106"/>
      <c r="BU110" s="106"/>
      <c r="BV110" s="106"/>
      <c r="BW110" s="106"/>
    </row>
    <row r="111" spans="1:75" ht="25.5">
      <c r="A111" s="180" t="s">
        <v>385</v>
      </c>
      <c r="B111" s="181" t="s">
        <v>2</v>
      </c>
      <c r="C111" s="181" t="s">
        <v>3</v>
      </c>
      <c r="D111" s="181" t="s">
        <v>4</v>
      </c>
      <c r="E111" s="181" t="s">
        <v>5</v>
      </c>
      <c r="F111" s="181" t="s">
        <v>6</v>
      </c>
      <c r="G111" s="181" t="s">
        <v>12</v>
      </c>
      <c r="H111" s="181" t="s">
        <v>13</v>
      </c>
      <c r="I111" s="181" t="s">
        <v>14</v>
      </c>
      <c r="J111" s="181" t="s">
        <v>15</v>
      </c>
      <c r="K111" s="181" t="s">
        <v>16</v>
      </c>
      <c r="L111" s="181" t="s">
        <v>17</v>
      </c>
      <c r="M111" s="181" t="s">
        <v>18</v>
      </c>
      <c r="N111" s="181" t="s">
        <v>19</v>
      </c>
      <c r="O111" s="181" t="s">
        <v>20</v>
      </c>
      <c r="P111" s="181" t="s">
        <v>21</v>
      </c>
      <c r="Q111" s="181" t="s">
        <v>22</v>
      </c>
      <c r="R111" s="181" t="s">
        <v>23</v>
      </c>
      <c r="S111" s="181" t="s">
        <v>24</v>
      </c>
      <c r="T111" s="181" t="s">
        <v>25</v>
      </c>
      <c r="U111" s="181" t="s">
        <v>26</v>
      </c>
      <c r="V111" s="181" t="s">
        <v>27</v>
      </c>
      <c r="W111" s="181" t="s">
        <v>28</v>
      </c>
      <c r="X111" s="181" t="s">
        <v>29</v>
      </c>
      <c r="Y111" s="181" t="s">
        <v>30</v>
      </c>
      <c r="Z111" s="181" t="s">
        <v>31</v>
      </c>
      <c r="AA111" s="181" t="s">
        <v>32</v>
      </c>
      <c r="AB111" s="181" t="s">
        <v>33</v>
      </c>
      <c r="AC111" s="181" t="s">
        <v>34</v>
      </c>
      <c r="AD111" s="181" t="s">
        <v>271</v>
      </c>
      <c r="AE111" s="181" t="s">
        <v>272</v>
      </c>
      <c r="AF111" s="181" t="s">
        <v>274</v>
      </c>
      <c r="AG111" s="181" t="s">
        <v>276</v>
      </c>
      <c r="AH111" s="181" t="s">
        <v>278</v>
      </c>
      <c r="AI111" s="188" t="s">
        <v>280</v>
      </c>
      <c r="AJ111" s="188" t="s">
        <v>281</v>
      </c>
      <c r="AK111" s="188" t="s">
        <v>289</v>
      </c>
      <c r="AL111" s="188" t="s">
        <v>290</v>
      </c>
      <c r="AM111" s="188" t="s">
        <v>291</v>
      </c>
      <c r="AN111" s="188" t="s">
        <v>292</v>
      </c>
      <c r="AO111" s="188" t="s">
        <v>293</v>
      </c>
      <c r="AP111" s="188" t="s">
        <v>329</v>
      </c>
      <c r="AQ111" s="188" t="s">
        <v>330</v>
      </c>
      <c r="AR111" s="188" t="s">
        <v>331</v>
      </c>
      <c r="AS111" s="317" t="s">
        <v>490</v>
      </c>
      <c r="AT111" s="188" t="s">
        <v>332</v>
      </c>
      <c r="AU111" s="317" t="s">
        <v>477</v>
      </c>
      <c r="AV111" s="188" t="s">
        <v>333</v>
      </c>
      <c r="AW111" s="306"/>
      <c r="AX111" s="188" t="s">
        <v>448</v>
      </c>
      <c r="AY111" s="188" t="s">
        <v>451</v>
      </c>
      <c r="AZ111" s="188" t="s">
        <v>453</v>
      </c>
      <c r="BA111" s="306"/>
      <c r="BB111" s="317" t="s">
        <v>480</v>
      </c>
      <c r="BC111" s="188" t="s">
        <v>454</v>
      </c>
      <c r="BD111" s="188" t="s">
        <v>457</v>
      </c>
      <c r="BE111" s="387"/>
      <c r="BF111" s="226"/>
      <c r="BG111" s="226"/>
      <c r="BH111" s="226"/>
      <c r="BI111" s="226"/>
      <c r="BJ111" s="226"/>
      <c r="BK111" s="226"/>
      <c r="BL111" s="226"/>
      <c r="BM111" s="226"/>
      <c r="BN111" s="226"/>
      <c r="BO111" s="226"/>
      <c r="BP111" s="226"/>
      <c r="BQ111" s="226"/>
      <c r="BR111" s="226"/>
      <c r="BS111" s="226"/>
      <c r="BT111" s="226"/>
      <c r="BU111" s="226"/>
      <c r="BV111" s="226"/>
      <c r="BW111" s="226"/>
    </row>
    <row r="112" spans="1:75" ht="12.75">
      <c r="A112" s="121"/>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3"/>
      <c r="AJ112" s="123"/>
      <c r="AK112" s="123"/>
      <c r="AL112" s="123"/>
      <c r="AM112" s="123"/>
      <c r="AN112" s="123"/>
      <c r="AO112" s="123"/>
      <c r="AP112" s="123"/>
      <c r="AQ112" s="123"/>
      <c r="AR112" s="123"/>
      <c r="AS112" s="123"/>
      <c r="AT112" s="123"/>
      <c r="AU112" s="301"/>
      <c r="AV112" s="123"/>
      <c r="AW112" s="301"/>
      <c r="AX112" s="123"/>
      <c r="AY112" s="123"/>
      <c r="AZ112" s="123"/>
      <c r="BA112" s="301"/>
      <c r="BB112" s="301"/>
      <c r="BC112" s="123"/>
      <c r="BD112" s="123"/>
      <c r="BE112" s="387"/>
      <c r="BF112" s="226"/>
      <c r="BG112" s="226"/>
      <c r="BH112" s="226"/>
      <c r="BI112" s="226"/>
      <c r="BJ112" s="226"/>
      <c r="BK112" s="226"/>
      <c r="BL112" s="226"/>
      <c r="BM112" s="226"/>
      <c r="BN112" s="226"/>
      <c r="BO112" s="226"/>
      <c r="BP112" s="226"/>
      <c r="BQ112" s="226"/>
      <c r="BR112" s="226"/>
      <c r="BS112" s="226"/>
      <c r="BT112" s="226"/>
      <c r="BU112" s="226"/>
      <c r="BV112" s="226"/>
      <c r="BW112" s="226"/>
    </row>
    <row r="113" spans="1:75" ht="12.75">
      <c r="A113" s="183" t="s">
        <v>192</v>
      </c>
      <c r="B113" s="88">
        <v>2166</v>
      </c>
      <c r="C113" s="88">
        <v>1552</v>
      </c>
      <c r="D113" s="88">
        <v>969</v>
      </c>
      <c r="E113" s="88">
        <v>1482</v>
      </c>
      <c r="F113" s="204">
        <v>6169</v>
      </c>
      <c r="G113" s="88">
        <v>936</v>
      </c>
      <c r="H113" s="88">
        <v>1793</v>
      </c>
      <c r="I113" s="88">
        <v>392</v>
      </c>
      <c r="J113" s="88">
        <v>1365</v>
      </c>
      <c r="K113" s="204">
        <v>4486</v>
      </c>
      <c r="L113" s="88">
        <v>273</v>
      </c>
      <c r="M113" s="88">
        <v>6763</v>
      </c>
      <c r="N113" s="88">
        <v>-5426</v>
      </c>
      <c r="O113" s="88">
        <v>8677</v>
      </c>
      <c r="P113" s="204">
        <v>10287</v>
      </c>
      <c r="Q113" s="88">
        <v>6136</v>
      </c>
      <c r="R113" s="88">
        <v>9318</v>
      </c>
      <c r="S113" s="88">
        <v>12750</v>
      </c>
      <c r="T113" s="88">
        <v>12124</v>
      </c>
      <c r="U113" s="204">
        <v>40328</v>
      </c>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300"/>
      <c r="AV113" s="106"/>
      <c r="AW113" s="300"/>
      <c r="AX113" s="106"/>
      <c r="AY113" s="106"/>
      <c r="AZ113" s="106"/>
      <c r="BA113" s="300"/>
      <c r="BB113" s="300"/>
      <c r="BC113" s="106"/>
      <c r="BD113" s="106"/>
      <c r="BE113" s="378"/>
      <c r="BF113" s="106"/>
      <c r="BG113" s="106"/>
      <c r="BH113" s="106"/>
      <c r="BI113" s="106"/>
      <c r="BJ113" s="106"/>
      <c r="BK113" s="106"/>
      <c r="BL113" s="106"/>
      <c r="BM113" s="106"/>
      <c r="BN113" s="106"/>
      <c r="BO113" s="106"/>
      <c r="BP113" s="106"/>
      <c r="BQ113" s="106"/>
      <c r="BR113" s="106"/>
      <c r="BS113" s="106"/>
      <c r="BT113" s="106"/>
      <c r="BU113" s="106"/>
      <c r="BV113" s="106"/>
      <c r="BW113" s="106"/>
    </row>
    <row r="114" spans="1:75" ht="12.75">
      <c r="A114" s="183" t="s">
        <v>193</v>
      </c>
      <c r="B114" s="88">
        <v>149488</v>
      </c>
      <c r="C114" s="88">
        <v>168930</v>
      </c>
      <c r="D114" s="88">
        <v>198713</v>
      </c>
      <c r="E114" s="88">
        <v>154180</v>
      </c>
      <c r="F114" s="204">
        <v>671311</v>
      </c>
      <c r="G114" s="88">
        <v>134234</v>
      </c>
      <c r="H114" s="88">
        <v>185447</v>
      </c>
      <c r="I114" s="88">
        <v>168434</v>
      </c>
      <c r="J114" s="88">
        <v>164771</v>
      </c>
      <c r="K114" s="204">
        <v>652886</v>
      </c>
      <c r="L114" s="88">
        <v>152763</v>
      </c>
      <c r="M114" s="88">
        <v>230827</v>
      </c>
      <c r="N114" s="88">
        <v>254833</v>
      </c>
      <c r="O114" s="88">
        <v>252216</v>
      </c>
      <c r="P114" s="204">
        <v>890639</v>
      </c>
      <c r="Q114" s="88">
        <v>217016</v>
      </c>
      <c r="R114" s="88">
        <v>270410</v>
      </c>
      <c r="S114" s="88">
        <v>328188</v>
      </c>
      <c r="T114" s="88">
        <v>367492</v>
      </c>
      <c r="U114" s="204">
        <v>1183106</v>
      </c>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300"/>
      <c r="AV114" s="106"/>
      <c r="AW114" s="300"/>
      <c r="AX114" s="106"/>
      <c r="AY114" s="106"/>
      <c r="AZ114" s="106"/>
      <c r="BA114" s="300"/>
      <c r="BB114" s="300"/>
      <c r="BC114" s="106"/>
      <c r="BD114" s="106"/>
      <c r="BE114" s="378"/>
      <c r="BF114" s="106"/>
      <c r="BG114" s="106"/>
      <c r="BH114" s="106"/>
      <c r="BI114" s="106"/>
      <c r="BJ114" s="106"/>
      <c r="BK114" s="106"/>
      <c r="BL114" s="106"/>
      <c r="BM114" s="106"/>
      <c r="BN114" s="106"/>
      <c r="BO114" s="106"/>
      <c r="BP114" s="106"/>
      <c r="BQ114" s="106"/>
      <c r="BR114" s="106"/>
      <c r="BS114" s="106"/>
      <c r="BT114" s="106"/>
      <c r="BU114" s="106"/>
      <c r="BV114" s="106"/>
      <c r="BW114" s="106"/>
    </row>
    <row r="115" spans="1:75" ht="12.75">
      <c r="A115" s="183" t="s">
        <v>434</v>
      </c>
      <c r="B115" s="88">
        <v>106528</v>
      </c>
      <c r="C115" s="88">
        <v>47147</v>
      </c>
      <c r="D115" s="88">
        <v>50783</v>
      </c>
      <c r="E115" s="88">
        <v>124571</v>
      </c>
      <c r="F115" s="204">
        <v>329029</v>
      </c>
      <c r="G115" s="88">
        <v>119514</v>
      </c>
      <c r="H115" s="88">
        <v>63250</v>
      </c>
      <c r="I115" s="88">
        <v>54423</v>
      </c>
      <c r="J115" s="88">
        <v>122452</v>
      </c>
      <c r="K115" s="204">
        <v>359639</v>
      </c>
      <c r="L115" s="88">
        <v>149251</v>
      </c>
      <c r="M115" s="88">
        <v>71233</v>
      </c>
      <c r="N115" s="88">
        <v>63271</v>
      </c>
      <c r="O115" s="88">
        <v>146407</v>
      </c>
      <c r="P115" s="204">
        <v>430162</v>
      </c>
      <c r="Q115" s="88">
        <v>204537</v>
      </c>
      <c r="R115" s="88">
        <v>88441</v>
      </c>
      <c r="S115" s="88">
        <v>68957</v>
      </c>
      <c r="T115" s="88">
        <v>168409</v>
      </c>
      <c r="U115" s="204">
        <v>530344</v>
      </c>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300"/>
      <c r="AV115" s="106"/>
      <c r="AW115" s="300"/>
      <c r="AX115" s="106"/>
      <c r="AY115" s="106"/>
      <c r="AZ115" s="106"/>
      <c r="BA115" s="300"/>
      <c r="BB115" s="300"/>
      <c r="BC115" s="106"/>
      <c r="BD115" s="106"/>
      <c r="BE115" s="378"/>
      <c r="BF115" s="106"/>
      <c r="BG115" s="106"/>
      <c r="BH115" s="106"/>
      <c r="BI115" s="106"/>
      <c r="BJ115" s="106"/>
      <c r="BK115" s="106"/>
      <c r="BL115" s="106"/>
      <c r="BM115" s="106"/>
      <c r="BN115" s="106"/>
      <c r="BO115" s="106"/>
      <c r="BP115" s="106"/>
      <c r="BQ115" s="106"/>
      <c r="BR115" s="106"/>
      <c r="BS115" s="106"/>
      <c r="BT115" s="106"/>
      <c r="BU115" s="106"/>
      <c r="BV115" s="106"/>
      <c r="BW115" s="106"/>
    </row>
    <row r="116" spans="1:75" ht="12.75">
      <c r="A116" s="183" t="s">
        <v>62</v>
      </c>
      <c r="B116" s="88">
        <v>40031</v>
      </c>
      <c r="C116" s="88">
        <v>32621</v>
      </c>
      <c r="D116" s="88">
        <v>36357</v>
      </c>
      <c r="E116" s="88">
        <v>30132</v>
      </c>
      <c r="F116" s="204">
        <v>139141</v>
      </c>
      <c r="G116" s="88">
        <v>28604</v>
      </c>
      <c r="H116" s="88">
        <v>29537</v>
      </c>
      <c r="I116" s="88">
        <v>32586</v>
      </c>
      <c r="J116" s="88">
        <v>32287</v>
      </c>
      <c r="K116" s="204">
        <v>123014</v>
      </c>
      <c r="L116" s="88">
        <v>33331</v>
      </c>
      <c r="M116" s="88">
        <v>46953</v>
      </c>
      <c r="N116" s="88">
        <v>42425</v>
      </c>
      <c r="O116" s="88">
        <v>46297</v>
      </c>
      <c r="P116" s="204">
        <v>169006</v>
      </c>
      <c r="Q116" s="88">
        <v>44144</v>
      </c>
      <c r="R116" s="88">
        <v>49201</v>
      </c>
      <c r="S116" s="88">
        <v>47120</v>
      </c>
      <c r="T116" s="88">
        <v>57074</v>
      </c>
      <c r="U116" s="204">
        <v>197539</v>
      </c>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300"/>
      <c r="AV116" s="106"/>
      <c r="AW116" s="300"/>
      <c r="AX116" s="106"/>
      <c r="AY116" s="106"/>
      <c r="AZ116" s="106"/>
      <c r="BA116" s="300"/>
      <c r="BB116" s="300"/>
      <c r="BC116" s="106"/>
      <c r="BD116" s="106"/>
      <c r="BE116" s="378"/>
      <c r="BF116" s="106"/>
      <c r="BG116" s="106"/>
      <c r="BH116" s="106"/>
      <c r="BI116" s="106"/>
      <c r="BJ116" s="106"/>
      <c r="BK116" s="106"/>
      <c r="BL116" s="106"/>
      <c r="BM116" s="106"/>
      <c r="BN116" s="106"/>
      <c r="BO116" s="106"/>
      <c r="BP116" s="106"/>
      <c r="BQ116" s="106"/>
      <c r="BR116" s="106"/>
      <c r="BS116" s="106"/>
      <c r="BT116" s="106"/>
      <c r="BU116" s="106"/>
      <c r="BV116" s="106"/>
      <c r="BW116" s="106"/>
    </row>
    <row r="117" spans="1:75" ht="12.75">
      <c r="A117" s="183" t="s">
        <v>195</v>
      </c>
      <c r="B117" s="88">
        <v>7683</v>
      </c>
      <c r="C117" s="88">
        <v>11406</v>
      </c>
      <c r="D117" s="88">
        <v>3824</v>
      </c>
      <c r="E117" s="88">
        <v>6206</v>
      </c>
      <c r="F117" s="204">
        <v>29119</v>
      </c>
      <c r="G117" s="88">
        <v>8511</v>
      </c>
      <c r="H117" s="88">
        <v>6493</v>
      </c>
      <c r="I117" s="88">
        <v>2436</v>
      </c>
      <c r="J117" s="88">
        <v>2192</v>
      </c>
      <c r="K117" s="204">
        <v>19632</v>
      </c>
      <c r="L117" s="88">
        <v>3015</v>
      </c>
      <c r="M117" s="88">
        <v>-1630</v>
      </c>
      <c r="N117" s="88">
        <v>1005</v>
      </c>
      <c r="O117" s="88">
        <v>1554</v>
      </c>
      <c r="P117" s="204">
        <v>3944</v>
      </c>
      <c r="Q117" s="88">
        <v>924</v>
      </c>
      <c r="R117" s="88">
        <v>6707</v>
      </c>
      <c r="S117" s="88">
        <v>-4664</v>
      </c>
      <c r="T117" s="88">
        <v>1546</v>
      </c>
      <c r="U117" s="204">
        <v>4513</v>
      </c>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300"/>
      <c r="AV117" s="106"/>
      <c r="AW117" s="300"/>
      <c r="AX117" s="106"/>
      <c r="AY117" s="106"/>
      <c r="AZ117" s="106"/>
      <c r="BA117" s="300"/>
      <c r="BB117" s="300"/>
      <c r="BC117" s="106"/>
      <c r="BD117" s="106"/>
      <c r="BE117" s="378"/>
      <c r="BF117" s="106"/>
      <c r="BG117" s="106"/>
      <c r="BH117" s="106"/>
      <c r="BI117" s="106"/>
      <c r="BJ117" s="106"/>
      <c r="BK117" s="106"/>
      <c r="BL117" s="106"/>
      <c r="BM117" s="106"/>
      <c r="BN117" s="106"/>
      <c r="BO117" s="106"/>
      <c r="BP117" s="106"/>
      <c r="BQ117" s="106"/>
      <c r="BR117" s="106"/>
      <c r="BS117" s="106"/>
      <c r="BT117" s="106"/>
      <c r="BU117" s="106"/>
      <c r="BV117" s="106"/>
      <c r="BW117" s="106"/>
    </row>
    <row r="118" spans="1:75" ht="12.75">
      <c r="A118" s="185" t="s">
        <v>205</v>
      </c>
      <c r="B118" s="96">
        <v>305896</v>
      </c>
      <c r="C118" s="96">
        <v>261656</v>
      </c>
      <c r="D118" s="96">
        <v>290646</v>
      </c>
      <c r="E118" s="96">
        <v>316571</v>
      </c>
      <c r="F118" s="205">
        <v>1174769</v>
      </c>
      <c r="G118" s="96">
        <v>291799</v>
      </c>
      <c r="H118" s="96">
        <v>286520</v>
      </c>
      <c r="I118" s="96">
        <v>258271</v>
      </c>
      <c r="J118" s="96">
        <v>323067</v>
      </c>
      <c r="K118" s="205">
        <v>1159657</v>
      </c>
      <c r="L118" s="96">
        <v>338633</v>
      </c>
      <c r="M118" s="96">
        <v>354146</v>
      </c>
      <c r="N118" s="96">
        <v>356108</v>
      </c>
      <c r="O118" s="96">
        <v>455151</v>
      </c>
      <c r="P118" s="205">
        <v>1504038</v>
      </c>
      <c r="Q118" s="96">
        <v>472757</v>
      </c>
      <c r="R118" s="96">
        <v>424077</v>
      </c>
      <c r="S118" s="96">
        <v>452351</v>
      </c>
      <c r="T118" s="96">
        <v>606645</v>
      </c>
      <c r="U118" s="205">
        <v>1955830</v>
      </c>
      <c r="V118" s="108"/>
      <c r="W118" s="108"/>
      <c r="X118" s="108"/>
      <c r="Y118" s="108"/>
      <c r="Z118" s="108"/>
      <c r="AA118" s="108"/>
      <c r="AB118" s="108"/>
      <c r="AC118" s="106"/>
      <c r="AD118" s="106"/>
      <c r="AE118" s="106"/>
      <c r="AF118" s="106"/>
      <c r="AG118" s="106"/>
      <c r="AH118" s="106"/>
      <c r="AI118" s="106"/>
      <c r="AJ118" s="106"/>
      <c r="AK118" s="106"/>
      <c r="AL118" s="106"/>
      <c r="AM118" s="106"/>
      <c r="AN118" s="106"/>
      <c r="AO118" s="106"/>
      <c r="AP118" s="106"/>
      <c r="AQ118" s="106"/>
      <c r="AR118" s="106"/>
      <c r="AS118" s="106"/>
      <c r="AT118" s="106"/>
      <c r="AU118" s="300"/>
      <c r="AV118" s="106"/>
      <c r="AW118" s="300"/>
      <c r="AX118" s="106"/>
      <c r="AY118" s="106"/>
      <c r="AZ118" s="106"/>
      <c r="BA118" s="300"/>
      <c r="BB118" s="300"/>
      <c r="BC118" s="106"/>
      <c r="BD118" s="106"/>
      <c r="BE118" s="378"/>
      <c r="BF118" s="106"/>
      <c r="BG118" s="106"/>
      <c r="BH118" s="106"/>
      <c r="BI118" s="106"/>
      <c r="BJ118" s="106"/>
      <c r="BK118" s="106"/>
      <c r="BL118" s="106"/>
      <c r="BM118" s="106"/>
      <c r="BN118" s="106"/>
      <c r="BO118" s="106"/>
      <c r="BP118" s="106"/>
      <c r="BQ118" s="106"/>
      <c r="BR118" s="106"/>
      <c r="BS118" s="106"/>
      <c r="BT118" s="106"/>
      <c r="BU118" s="106"/>
      <c r="BV118" s="106"/>
      <c r="BW118" s="106"/>
    </row>
    <row r="119" spans="1:75" ht="12.75">
      <c r="A119" s="125"/>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BE119" s="378"/>
      <c r="BF119" s="106"/>
      <c r="BG119" s="106"/>
      <c r="BH119" s="106"/>
      <c r="BI119" s="106"/>
      <c r="BJ119" s="106"/>
      <c r="BK119" s="106"/>
      <c r="BL119" s="106"/>
      <c r="BM119" s="106"/>
      <c r="BN119" s="106"/>
      <c r="BO119" s="106"/>
      <c r="BP119" s="106"/>
      <c r="BQ119" s="106"/>
      <c r="BR119" s="106"/>
      <c r="BS119" s="106"/>
      <c r="BT119" s="106"/>
      <c r="BU119" s="106"/>
      <c r="BV119" s="106"/>
      <c r="BW119" s="106"/>
    </row>
    <row r="120" spans="1:75" ht="12.75">
      <c r="A120" s="125"/>
      <c r="Z120" s="116"/>
      <c r="AA120" s="116"/>
      <c r="AB120" s="116"/>
      <c r="BE120" s="378"/>
      <c r="BF120" s="106"/>
      <c r="BG120" s="106"/>
      <c r="BH120" s="106"/>
      <c r="BI120" s="106"/>
      <c r="BJ120" s="106"/>
      <c r="BK120" s="106"/>
      <c r="BL120" s="106"/>
      <c r="BM120" s="106"/>
      <c r="BN120" s="106"/>
      <c r="BO120" s="106"/>
      <c r="BP120" s="106"/>
      <c r="BQ120" s="106"/>
      <c r="BR120" s="106"/>
      <c r="BS120" s="106"/>
      <c r="BT120" s="106"/>
      <c r="BU120" s="106"/>
      <c r="BV120" s="106"/>
      <c r="BW120" s="106"/>
    </row>
    <row r="121" spans="1:75" ht="25.5">
      <c r="A121" s="180" t="s">
        <v>386</v>
      </c>
      <c r="B121" s="181" t="s">
        <v>2</v>
      </c>
      <c r="C121" s="181" t="s">
        <v>3</v>
      </c>
      <c r="D121" s="181" t="s">
        <v>4</v>
      </c>
      <c r="E121" s="181" t="s">
        <v>5</v>
      </c>
      <c r="F121" s="181" t="s">
        <v>6</v>
      </c>
      <c r="G121" s="181" t="s">
        <v>12</v>
      </c>
      <c r="H121" s="181" t="s">
        <v>13</v>
      </c>
      <c r="I121" s="181" t="s">
        <v>14</v>
      </c>
      <c r="J121" s="181" t="s">
        <v>15</v>
      </c>
      <c r="K121" s="181" t="s">
        <v>16</v>
      </c>
      <c r="L121" s="181" t="s">
        <v>17</v>
      </c>
      <c r="M121" s="181" t="s">
        <v>18</v>
      </c>
      <c r="N121" s="181" t="s">
        <v>19</v>
      </c>
      <c r="O121" s="181" t="s">
        <v>20</v>
      </c>
      <c r="P121" s="181" t="s">
        <v>21</v>
      </c>
      <c r="Q121" s="181" t="s">
        <v>22</v>
      </c>
      <c r="R121" s="181" t="s">
        <v>23</v>
      </c>
      <c r="S121" s="181" t="s">
        <v>24</v>
      </c>
      <c r="T121" s="181" t="s">
        <v>25</v>
      </c>
      <c r="U121" s="181" t="s">
        <v>26</v>
      </c>
      <c r="V121" s="181" t="s">
        <v>27</v>
      </c>
      <c r="W121" s="181" t="s">
        <v>28</v>
      </c>
      <c r="X121" s="181" t="s">
        <v>29</v>
      </c>
      <c r="Y121" s="181" t="s">
        <v>30</v>
      </c>
      <c r="Z121" s="181" t="s">
        <v>31</v>
      </c>
      <c r="AA121" s="181" t="s">
        <v>32</v>
      </c>
      <c r="AB121" s="181" t="s">
        <v>33</v>
      </c>
      <c r="AC121" s="181" t="s">
        <v>34</v>
      </c>
      <c r="AD121" s="181" t="s">
        <v>271</v>
      </c>
      <c r="AE121" s="181" t="s">
        <v>272</v>
      </c>
      <c r="AF121" s="181" t="s">
        <v>274</v>
      </c>
      <c r="AG121" s="181" t="s">
        <v>276</v>
      </c>
      <c r="AH121" s="181" t="s">
        <v>278</v>
      </c>
      <c r="AI121" s="188" t="s">
        <v>280</v>
      </c>
      <c r="AJ121" s="188" t="s">
        <v>281</v>
      </c>
      <c r="AK121" s="188" t="s">
        <v>289</v>
      </c>
      <c r="AL121" s="188" t="s">
        <v>290</v>
      </c>
      <c r="AM121" s="188" t="s">
        <v>291</v>
      </c>
      <c r="AN121" s="188" t="s">
        <v>292</v>
      </c>
      <c r="AO121" s="188" t="s">
        <v>293</v>
      </c>
      <c r="AP121" s="188" t="s">
        <v>329</v>
      </c>
      <c r="AQ121" s="188" t="s">
        <v>330</v>
      </c>
      <c r="AR121" s="188" t="s">
        <v>331</v>
      </c>
      <c r="AS121" s="317" t="s">
        <v>490</v>
      </c>
      <c r="AT121" s="188" t="s">
        <v>332</v>
      </c>
      <c r="AU121" s="317" t="s">
        <v>477</v>
      </c>
      <c r="AV121" s="188" t="s">
        <v>333</v>
      </c>
      <c r="AW121" s="306" t="s">
        <v>463</v>
      </c>
      <c r="AX121" s="188" t="s">
        <v>448</v>
      </c>
      <c r="AY121" s="188" t="s">
        <v>451</v>
      </c>
      <c r="AZ121" s="188" t="s">
        <v>453</v>
      </c>
      <c r="BA121" s="306"/>
      <c r="BB121" s="317" t="s">
        <v>480</v>
      </c>
      <c r="BC121" s="188" t="s">
        <v>454</v>
      </c>
      <c r="BD121" s="188" t="s">
        <v>457</v>
      </c>
      <c r="BE121" s="387"/>
      <c r="BF121" s="226"/>
      <c r="BG121" s="226"/>
      <c r="BH121" s="226"/>
      <c r="BI121" s="226"/>
      <c r="BJ121" s="226"/>
      <c r="BK121" s="226"/>
      <c r="BL121" s="226"/>
      <c r="BM121" s="226"/>
      <c r="BN121" s="226"/>
      <c r="BO121" s="226"/>
      <c r="BP121" s="226"/>
      <c r="BQ121" s="226"/>
      <c r="BR121" s="226"/>
      <c r="BS121" s="226"/>
      <c r="BT121" s="226"/>
      <c r="BU121" s="226"/>
      <c r="BV121" s="226"/>
      <c r="BW121" s="226"/>
    </row>
    <row r="122" spans="1:75" ht="12.75">
      <c r="A122" s="125"/>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7"/>
      <c r="AJ122" s="127"/>
      <c r="AK122" s="127"/>
      <c r="AL122" s="127"/>
      <c r="AM122" s="127"/>
      <c r="AN122" s="127"/>
      <c r="AO122" s="127"/>
      <c r="AP122" s="127"/>
      <c r="AQ122" s="127"/>
      <c r="AR122" s="127"/>
      <c r="AS122" s="127"/>
      <c r="AT122" s="127"/>
      <c r="AU122" s="303"/>
      <c r="AV122" s="127"/>
      <c r="AW122" s="303"/>
      <c r="AX122" s="127"/>
      <c r="AY122" s="127"/>
      <c r="AZ122" s="127"/>
      <c r="BA122" s="303"/>
      <c r="BB122" s="303"/>
      <c r="BC122" s="127"/>
      <c r="BD122" s="127"/>
      <c r="BE122" s="388"/>
      <c r="BF122" s="329"/>
      <c r="BG122" s="329"/>
      <c r="BH122" s="329"/>
      <c r="BI122" s="329"/>
      <c r="BJ122" s="329"/>
      <c r="BK122" s="329"/>
      <c r="BL122" s="329"/>
      <c r="BM122" s="329"/>
      <c r="BN122" s="329"/>
      <c r="BO122" s="329"/>
      <c r="BP122" s="329"/>
      <c r="BQ122" s="329"/>
      <c r="BR122" s="329"/>
      <c r="BS122" s="329"/>
      <c r="BT122" s="329"/>
      <c r="BU122" s="329"/>
      <c r="BV122" s="329"/>
      <c r="BW122" s="329"/>
    </row>
    <row r="123" spans="1:75" ht="12.75">
      <c r="A123" s="183" t="s">
        <v>192</v>
      </c>
      <c r="B123" s="88">
        <v>22470</v>
      </c>
      <c r="C123" s="88">
        <v>17301</v>
      </c>
      <c r="D123" s="88">
        <v>13073</v>
      </c>
      <c r="E123" s="88">
        <v>14320</v>
      </c>
      <c r="F123" s="204">
        <v>67164</v>
      </c>
      <c r="G123" s="88">
        <v>16628</v>
      </c>
      <c r="H123" s="88">
        <v>12046</v>
      </c>
      <c r="I123" s="88">
        <v>10587</v>
      </c>
      <c r="J123" s="88">
        <v>12094</v>
      </c>
      <c r="K123" s="204">
        <v>51355</v>
      </c>
      <c r="L123" s="88">
        <v>17963</v>
      </c>
      <c r="M123" s="88">
        <v>11193</v>
      </c>
      <c r="N123" s="88">
        <v>8204</v>
      </c>
      <c r="O123" s="88">
        <v>6134</v>
      </c>
      <c r="P123" s="204">
        <v>43494</v>
      </c>
      <c r="Q123" s="88">
        <v>11959</v>
      </c>
      <c r="R123" s="88">
        <v>12851</v>
      </c>
      <c r="S123" s="88">
        <v>18915</v>
      </c>
      <c r="T123" s="88">
        <v>10442</v>
      </c>
      <c r="U123" s="204">
        <v>54167</v>
      </c>
      <c r="V123" s="88">
        <v>16994</v>
      </c>
      <c r="W123" s="88">
        <v>24124</v>
      </c>
      <c r="X123" s="88">
        <v>32834</v>
      </c>
      <c r="Y123" s="88">
        <v>31422</v>
      </c>
      <c r="Z123" s="204">
        <v>105374</v>
      </c>
      <c r="AA123" s="88">
        <f aca="true" t="shared" si="5" ref="AA123:AA129">AE123-AD123-AC123-AB123</f>
        <v>38256</v>
      </c>
      <c r="AB123" s="88">
        <v>32474</v>
      </c>
      <c r="AC123" s="88">
        <v>34893</v>
      </c>
      <c r="AD123" s="88">
        <v>14817</v>
      </c>
      <c r="AE123" s="204">
        <v>120440</v>
      </c>
      <c r="AF123" s="88">
        <v>17048</v>
      </c>
      <c r="AG123" s="88">
        <v>23538</v>
      </c>
      <c r="AH123" s="88">
        <v>20135</v>
      </c>
      <c r="AI123" s="88">
        <v>18143</v>
      </c>
      <c r="AJ123" s="204">
        <v>78864</v>
      </c>
      <c r="AK123" s="88">
        <v>89195</v>
      </c>
      <c r="AL123" s="88">
        <v>30559</v>
      </c>
      <c r="AM123" s="88">
        <v>32906</v>
      </c>
      <c r="AN123" s="88">
        <v>38474</v>
      </c>
      <c r="AO123" s="204">
        <v>191134</v>
      </c>
      <c r="AP123" s="88">
        <v>46036</v>
      </c>
      <c r="AQ123" s="88">
        <v>15178</v>
      </c>
      <c r="AR123" s="88">
        <v>18332</v>
      </c>
      <c r="AS123" s="88">
        <v>79546</v>
      </c>
      <c r="AT123" s="88">
        <v>29230</v>
      </c>
      <c r="AU123" s="100">
        <v>29140</v>
      </c>
      <c r="AV123" s="204">
        <v>108776</v>
      </c>
      <c r="AW123" s="309">
        <v>108686</v>
      </c>
      <c r="AX123" s="88">
        <v>23556</v>
      </c>
      <c r="AY123" s="88">
        <v>-6202</v>
      </c>
      <c r="AZ123" s="88">
        <v>38764</v>
      </c>
      <c r="BA123" s="88"/>
      <c r="BB123" s="100">
        <v>56118</v>
      </c>
      <c r="BC123" s="88">
        <v>30725</v>
      </c>
      <c r="BD123" s="204">
        <v>86843</v>
      </c>
      <c r="BE123" s="378"/>
      <c r="BF123" s="106"/>
      <c r="BG123" s="106"/>
      <c r="BH123" s="106"/>
      <c r="BI123" s="106"/>
      <c r="BJ123" s="106"/>
      <c r="BK123" s="106"/>
      <c r="BL123" s="106"/>
      <c r="BM123" s="106"/>
      <c r="BN123" s="106"/>
      <c r="BO123" s="106"/>
      <c r="BP123" s="106"/>
      <c r="BQ123" s="106"/>
      <c r="BR123" s="106"/>
      <c r="BS123" s="106"/>
      <c r="BT123" s="106"/>
      <c r="BU123" s="106"/>
      <c r="BV123" s="106"/>
      <c r="BW123" s="106"/>
    </row>
    <row r="124" spans="1:75" ht="12.75">
      <c r="A124" s="183" t="s">
        <v>193</v>
      </c>
      <c r="B124" s="88">
        <v>15886</v>
      </c>
      <c r="C124" s="88">
        <v>19325</v>
      </c>
      <c r="D124" s="88">
        <v>18065</v>
      </c>
      <c r="E124" s="88">
        <v>16860</v>
      </c>
      <c r="F124" s="204">
        <v>70136</v>
      </c>
      <c r="G124" s="88">
        <v>3423</v>
      </c>
      <c r="H124" s="88">
        <v>21080</v>
      </c>
      <c r="I124" s="88">
        <v>11526</v>
      </c>
      <c r="J124" s="88">
        <v>1321</v>
      </c>
      <c r="K124" s="204">
        <v>37350</v>
      </c>
      <c r="L124" s="88">
        <v>13483</v>
      </c>
      <c r="M124" s="88">
        <v>12182</v>
      </c>
      <c r="N124" s="88">
        <v>21404</v>
      </c>
      <c r="O124" s="88">
        <v>20565</v>
      </c>
      <c r="P124" s="204">
        <v>67634</v>
      </c>
      <c r="Q124" s="88">
        <v>23634</v>
      </c>
      <c r="R124" s="88">
        <v>32180</v>
      </c>
      <c r="S124" s="88">
        <v>59047</v>
      </c>
      <c r="T124" s="88">
        <v>44041</v>
      </c>
      <c r="U124" s="204">
        <v>158902</v>
      </c>
      <c r="V124" s="88">
        <v>37683</v>
      </c>
      <c r="W124" s="88">
        <v>50179</v>
      </c>
      <c r="X124" s="88">
        <v>50698</v>
      </c>
      <c r="Y124" s="88">
        <v>38427</v>
      </c>
      <c r="Z124" s="204">
        <v>176987</v>
      </c>
      <c r="AA124" s="88">
        <f t="shared" si="5"/>
        <v>24235</v>
      </c>
      <c r="AB124" s="88">
        <v>69079</v>
      </c>
      <c r="AC124" s="88">
        <v>58697</v>
      </c>
      <c r="AD124" s="88">
        <v>17017</v>
      </c>
      <c r="AE124" s="204">
        <v>169028</v>
      </c>
      <c r="AF124" s="88">
        <v>28352</v>
      </c>
      <c r="AG124" s="88">
        <v>58530</v>
      </c>
      <c r="AH124" s="88">
        <v>47220</v>
      </c>
      <c r="AI124" s="88">
        <v>37833</v>
      </c>
      <c r="AJ124" s="204">
        <v>171935</v>
      </c>
      <c r="AK124" s="88">
        <v>40149</v>
      </c>
      <c r="AL124" s="88">
        <v>68957</v>
      </c>
      <c r="AM124" s="88">
        <v>4539</v>
      </c>
      <c r="AN124" s="88">
        <v>-41273</v>
      </c>
      <c r="AO124" s="204">
        <v>72372</v>
      </c>
      <c r="AP124" s="88">
        <v>4676</v>
      </c>
      <c r="AQ124" s="88">
        <v>41289</v>
      </c>
      <c r="AR124" s="88">
        <v>5436</v>
      </c>
      <c r="AS124" s="88">
        <v>51401</v>
      </c>
      <c r="AT124" s="88">
        <v>-2557</v>
      </c>
      <c r="AU124" s="100">
        <v>-8340</v>
      </c>
      <c r="AV124" s="204">
        <v>48844</v>
      </c>
      <c r="AW124" s="309">
        <v>43061</v>
      </c>
      <c r="AX124" s="88">
        <v>9141</v>
      </c>
      <c r="AY124" s="88">
        <v>21434</v>
      </c>
      <c r="AZ124" s="88">
        <v>27761</v>
      </c>
      <c r="BA124" s="88"/>
      <c r="BB124" s="100">
        <v>58336</v>
      </c>
      <c r="BC124" s="88">
        <v>7123</v>
      </c>
      <c r="BD124" s="204">
        <v>65459</v>
      </c>
      <c r="BE124" s="378"/>
      <c r="BF124" s="106"/>
      <c r="BG124" s="106"/>
      <c r="BH124" s="106"/>
      <c r="BI124" s="106"/>
      <c r="BJ124" s="106"/>
      <c r="BK124" s="106"/>
      <c r="BL124" s="106"/>
      <c r="BM124" s="106"/>
      <c r="BN124" s="106"/>
      <c r="BO124" s="106"/>
      <c r="BP124" s="106"/>
      <c r="BQ124" s="106"/>
      <c r="BR124" s="106"/>
      <c r="BS124" s="106"/>
      <c r="BT124" s="106"/>
      <c r="BU124" s="106"/>
      <c r="BV124" s="106"/>
      <c r="BW124" s="106"/>
    </row>
    <row r="125" spans="1:75" ht="12.75">
      <c r="A125" s="183" t="s">
        <v>435</v>
      </c>
      <c r="B125" s="88">
        <v>-41441</v>
      </c>
      <c r="C125" s="88">
        <v>-38916</v>
      </c>
      <c r="D125" s="88">
        <v>-24702</v>
      </c>
      <c r="E125" s="88">
        <v>-17111</v>
      </c>
      <c r="F125" s="204">
        <v>-122170</v>
      </c>
      <c r="G125" s="88">
        <v>-6669</v>
      </c>
      <c r="H125" s="88">
        <v>2887</v>
      </c>
      <c r="I125" s="88">
        <v>4712</v>
      </c>
      <c r="J125" s="88">
        <v>-735</v>
      </c>
      <c r="K125" s="204">
        <v>195</v>
      </c>
      <c r="L125" s="88">
        <v>-2323</v>
      </c>
      <c r="M125" s="88">
        <v>-9652</v>
      </c>
      <c r="N125" s="88">
        <v>15685</v>
      </c>
      <c r="O125" s="88">
        <v>3817</v>
      </c>
      <c r="P125" s="204">
        <v>7527</v>
      </c>
      <c r="Q125" s="88">
        <v>20930</v>
      </c>
      <c r="R125" s="88">
        <v>13070</v>
      </c>
      <c r="S125" s="88">
        <v>12887</v>
      </c>
      <c r="T125" s="88">
        <v>17954</v>
      </c>
      <c r="U125" s="204">
        <v>64841</v>
      </c>
      <c r="V125" s="88">
        <v>30471</v>
      </c>
      <c r="W125" s="88">
        <v>11990</v>
      </c>
      <c r="X125" s="88">
        <v>9834</v>
      </c>
      <c r="Y125" s="88">
        <v>-1880</v>
      </c>
      <c r="Z125" s="204">
        <v>50415</v>
      </c>
      <c r="AA125" s="88">
        <f t="shared" si="5"/>
        <v>86173</v>
      </c>
      <c r="AB125" s="88">
        <v>9684</v>
      </c>
      <c r="AC125" s="88">
        <v>5467</v>
      </c>
      <c r="AD125" s="88">
        <v>8296</v>
      </c>
      <c r="AE125" s="204">
        <v>109620</v>
      </c>
      <c r="AF125" s="88">
        <v>12816</v>
      </c>
      <c r="AG125" s="88">
        <v>8320</v>
      </c>
      <c r="AH125" s="88">
        <v>8501</v>
      </c>
      <c r="AI125" s="88">
        <v>9106</v>
      </c>
      <c r="AJ125" s="204">
        <v>38743</v>
      </c>
      <c r="AK125" s="88">
        <v>11253</v>
      </c>
      <c r="AL125" s="88">
        <v>8596</v>
      </c>
      <c r="AM125" s="88">
        <v>7941</v>
      </c>
      <c r="AN125" s="88">
        <v>10686</v>
      </c>
      <c r="AO125" s="204">
        <v>38476</v>
      </c>
      <c r="AP125" s="88">
        <v>18216</v>
      </c>
      <c r="AQ125" s="88">
        <v>11588</v>
      </c>
      <c r="AR125" s="88">
        <v>16633</v>
      </c>
      <c r="AS125" s="88">
        <v>46437</v>
      </c>
      <c r="AT125" s="88">
        <v>16048</v>
      </c>
      <c r="AU125" s="100">
        <v>15465</v>
      </c>
      <c r="AV125" s="204">
        <v>62485</v>
      </c>
      <c r="AW125" s="309">
        <v>61902</v>
      </c>
      <c r="AX125" s="88">
        <v>25287</v>
      </c>
      <c r="AY125" s="88">
        <v>20654</v>
      </c>
      <c r="AZ125" s="88">
        <v>5558</v>
      </c>
      <c r="BA125" s="88"/>
      <c r="BB125" s="100">
        <v>51499</v>
      </c>
      <c r="BC125" s="88">
        <v>15750</v>
      </c>
      <c r="BD125" s="204">
        <v>67249</v>
      </c>
      <c r="BE125" s="378"/>
      <c r="BF125" s="106"/>
      <c r="BG125" s="106"/>
      <c r="BH125" s="106"/>
      <c r="BI125" s="106"/>
      <c r="BJ125" s="106"/>
      <c r="BK125" s="106"/>
      <c r="BL125" s="106"/>
      <c r="BM125" s="106"/>
      <c r="BN125" s="106"/>
      <c r="BO125" s="106"/>
      <c r="BP125" s="106"/>
      <c r="BQ125" s="106"/>
      <c r="BR125" s="106"/>
      <c r="BS125" s="106"/>
      <c r="BT125" s="106"/>
      <c r="BU125" s="106"/>
      <c r="BV125" s="106"/>
      <c r="BW125" s="106"/>
    </row>
    <row r="126" spans="1:75" ht="12.75">
      <c r="A126" s="183" t="s">
        <v>62</v>
      </c>
      <c r="B126" s="88">
        <v>2912</v>
      </c>
      <c r="C126" s="88">
        <v>-1856</v>
      </c>
      <c r="D126" s="88">
        <v>1676</v>
      </c>
      <c r="E126" s="88">
        <v>2253</v>
      </c>
      <c r="F126" s="204">
        <v>4985</v>
      </c>
      <c r="G126" s="88">
        <v>238</v>
      </c>
      <c r="H126" s="88">
        <v>2944</v>
      </c>
      <c r="I126" s="88">
        <v>3318</v>
      </c>
      <c r="J126" s="88">
        <v>-3392</v>
      </c>
      <c r="K126" s="204">
        <v>3108</v>
      </c>
      <c r="L126" s="88">
        <v>1267</v>
      </c>
      <c r="M126" s="88">
        <v>3554</v>
      </c>
      <c r="N126" s="88">
        <v>-4752</v>
      </c>
      <c r="O126" s="88">
        <v>1218</v>
      </c>
      <c r="P126" s="204">
        <v>1287</v>
      </c>
      <c r="Q126" s="88">
        <v>3756</v>
      </c>
      <c r="R126" s="88">
        <v>3376</v>
      </c>
      <c r="S126" s="88">
        <v>3899</v>
      </c>
      <c r="T126" s="88">
        <v>7770</v>
      </c>
      <c r="U126" s="204">
        <v>18801</v>
      </c>
      <c r="V126" s="88">
        <v>9633</v>
      </c>
      <c r="W126" s="88">
        <v>3684</v>
      </c>
      <c r="X126" s="88">
        <v>166</v>
      </c>
      <c r="Y126" s="88">
        <v>5631</v>
      </c>
      <c r="Z126" s="204">
        <v>19114</v>
      </c>
      <c r="AA126" s="88">
        <f t="shared" si="5"/>
        <v>3653</v>
      </c>
      <c r="AB126" s="88">
        <v>3919</v>
      </c>
      <c r="AC126" s="88">
        <v>5463</v>
      </c>
      <c r="AD126" s="88">
        <v>10250</v>
      </c>
      <c r="AE126" s="204">
        <v>23285</v>
      </c>
      <c r="AF126" s="88">
        <v>12630</v>
      </c>
      <c r="AG126" s="88">
        <v>12188</v>
      </c>
      <c r="AH126" s="88">
        <v>11940</v>
      </c>
      <c r="AI126" s="88">
        <v>4134</v>
      </c>
      <c r="AJ126" s="204">
        <v>40892</v>
      </c>
      <c r="AK126" s="88">
        <v>2638</v>
      </c>
      <c r="AL126" s="88">
        <v>-13743</v>
      </c>
      <c r="AM126" s="88">
        <v>-190</v>
      </c>
      <c r="AN126" s="88">
        <v>3752</v>
      </c>
      <c r="AO126" s="204">
        <v>-7543</v>
      </c>
      <c r="AP126" s="88">
        <v>-3711</v>
      </c>
      <c r="AQ126" s="88">
        <v>-9335</v>
      </c>
      <c r="AR126" s="88">
        <v>1377</v>
      </c>
      <c r="AS126" s="88">
        <v>-11669</v>
      </c>
      <c r="AT126" s="88">
        <v>-3582</v>
      </c>
      <c r="AU126" s="100">
        <v>-3550</v>
      </c>
      <c r="AV126" s="204">
        <v>-15251</v>
      </c>
      <c r="AW126" s="309">
        <v>-15219</v>
      </c>
      <c r="AX126" s="88">
        <v>-2170</v>
      </c>
      <c r="AY126" s="88">
        <v>1576</v>
      </c>
      <c r="AZ126" s="88">
        <v>6046</v>
      </c>
      <c r="BA126" s="88"/>
      <c r="BB126" s="100">
        <v>5452</v>
      </c>
      <c r="BC126" s="88">
        <v>-4220</v>
      </c>
      <c r="BD126" s="204">
        <v>1232</v>
      </c>
      <c r="BE126" s="378"/>
      <c r="BF126" s="106"/>
      <c r="BG126" s="106"/>
      <c r="BH126" s="106"/>
      <c r="BI126" s="106"/>
      <c r="BJ126" s="106"/>
      <c r="BK126" s="106"/>
      <c r="BL126" s="106"/>
      <c r="BM126" s="106"/>
      <c r="BN126" s="106"/>
      <c r="BO126" s="106"/>
      <c r="BP126" s="106"/>
      <c r="BQ126" s="106"/>
      <c r="BR126" s="106"/>
      <c r="BS126" s="106"/>
      <c r="BT126" s="106"/>
      <c r="BU126" s="106"/>
      <c r="BV126" s="106"/>
      <c r="BW126" s="106"/>
    </row>
    <row r="127" spans="1:75" ht="12.75">
      <c r="A127" s="183" t="s">
        <v>195</v>
      </c>
      <c r="B127" s="88">
        <v>-2734</v>
      </c>
      <c r="C127" s="88">
        <v>-5641</v>
      </c>
      <c r="D127" s="88">
        <v>-7507</v>
      </c>
      <c r="E127" s="88">
        <v>-8975</v>
      </c>
      <c r="F127" s="204">
        <v>-24857</v>
      </c>
      <c r="G127" s="88">
        <v>-4980</v>
      </c>
      <c r="H127" s="88">
        <v>-6438</v>
      </c>
      <c r="I127" s="88">
        <v>-7948</v>
      </c>
      <c r="J127" s="88">
        <v>-15783</v>
      </c>
      <c r="K127" s="204">
        <v>-35149</v>
      </c>
      <c r="L127" s="88">
        <v>-5593</v>
      </c>
      <c r="M127" s="88">
        <v>-11599</v>
      </c>
      <c r="N127" s="88">
        <v>-8891</v>
      </c>
      <c r="O127" s="88">
        <v>-9282</v>
      </c>
      <c r="P127" s="204">
        <v>-35365</v>
      </c>
      <c r="Q127" s="88">
        <v>-5622</v>
      </c>
      <c r="R127" s="88">
        <v>-10451</v>
      </c>
      <c r="S127" s="88">
        <v>-8447</v>
      </c>
      <c r="T127" s="88">
        <v>-27457</v>
      </c>
      <c r="U127" s="204">
        <v>-51977</v>
      </c>
      <c r="V127" s="88">
        <v>-12645</v>
      </c>
      <c r="W127" s="88">
        <v>-7994</v>
      </c>
      <c r="X127" s="88">
        <v>-12711</v>
      </c>
      <c r="Y127" s="88">
        <v>-8438</v>
      </c>
      <c r="Z127" s="204">
        <v>-41788</v>
      </c>
      <c r="AA127" s="88">
        <f t="shared" si="5"/>
        <v>-11494</v>
      </c>
      <c r="AB127" s="88">
        <v>-13926</v>
      </c>
      <c r="AC127" s="88">
        <v>-9987</v>
      </c>
      <c r="AD127" s="88">
        <v>-9683</v>
      </c>
      <c r="AE127" s="204">
        <v>-45090</v>
      </c>
      <c r="AF127" s="88">
        <v>5675</v>
      </c>
      <c r="AG127" s="88">
        <v>-9139</v>
      </c>
      <c r="AH127" s="88">
        <v>8745</v>
      </c>
      <c r="AI127" s="88">
        <v>21165</v>
      </c>
      <c r="AJ127" s="204">
        <v>26446</v>
      </c>
      <c r="AK127" s="88">
        <v>-9145</v>
      </c>
      <c r="AL127" s="88">
        <v>-5105</v>
      </c>
      <c r="AM127" s="88">
        <v>-14328</v>
      </c>
      <c r="AN127" s="88">
        <v>-9675</v>
      </c>
      <c r="AO127" s="204">
        <v>-38253</v>
      </c>
      <c r="AP127" s="88">
        <v>8517</v>
      </c>
      <c r="AQ127" s="88">
        <v>-6198</v>
      </c>
      <c r="AR127" s="88">
        <v>-8198</v>
      </c>
      <c r="AS127" s="88">
        <v>-5879</v>
      </c>
      <c r="AT127" s="88">
        <v>-17281</v>
      </c>
      <c r="AU127" s="100">
        <v>-7435</v>
      </c>
      <c r="AV127" s="204">
        <v>-23160</v>
      </c>
      <c r="AW127" s="309">
        <v>-13314</v>
      </c>
      <c r="AX127" s="88">
        <v>-4781</v>
      </c>
      <c r="AY127" s="88">
        <v>1951</v>
      </c>
      <c r="AZ127" s="88">
        <v>-15130</v>
      </c>
      <c r="BA127" s="88"/>
      <c r="BB127" s="100">
        <v>-17960</v>
      </c>
      <c r="BC127" s="88">
        <v>-7012</v>
      </c>
      <c r="BD127" s="204">
        <v>-24972</v>
      </c>
      <c r="BE127" s="378"/>
      <c r="BF127" s="106"/>
      <c r="BG127" s="106"/>
      <c r="BH127" s="106"/>
      <c r="BI127" s="106"/>
      <c r="BJ127" s="106"/>
      <c r="BK127" s="106"/>
      <c r="BL127" s="106"/>
      <c r="BM127" s="106"/>
      <c r="BN127" s="106"/>
      <c r="BO127" s="106"/>
      <c r="BP127" s="106"/>
      <c r="BQ127" s="106"/>
      <c r="BR127" s="106"/>
      <c r="BS127" s="106"/>
      <c r="BT127" s="106"/>
      <c r="BU127" s="106"/>
      <c r="BV127" s="106"/>
      <c r="BW127" s="106"/>
    </row>
    <row r="128" spans="1:75" ht="14.25">
      <c r="A128" s="183" t="s">
        <v>319</v>
      </c>
      <c r="B128" s="88">
        <v>5956</v>
      </c>
      <c r="C128" s="88">
        <v>-4048</v>
      </c>
      <c r="D128" s="88">
        <v>-7774</v>
      </c>
      <c r="E128" s="88">
        <v>7431</v>
      </c>
      <c r="F128" s="204">
        <v>1565</v>
      </c>
      <c r="G128" s="88">
        <v>3546</v>
      </c>
      <c r="H128" s="88">
        <v>-3544</v>
      </c>
      <c r="I128" s="88">
        <v>-5374</v>
      </c>
      <c r="J128" s="88">
        <v>5682</v>
      </c>
      <c r="K128" s="204">
        <v>310</v>
      </c>
      <c r="L128" s="88">
        <v>3350</v>
      </c>
      <c r="M128" s="88">
        <v>-5386</v>
      </c>
      <c r="N128" s="88">
        <v>-3021</v>
      </c>
      <c r="O128" s="88">
        <v>3551</v>
      </c>
      <c r="P128" s="204">
        <v>-1506</v>
      </c>
      <c r="Q128" s="88">
        <v>7164</v>
      </c>
      <c r="R128" s="88">
        <v>-3342</v>
      </c>
      <c r="S128" s="88">
        <v>-4658</v>
      </c>
      <c r="T128" s="88">
        <v>4873</v>
      </c>
      <c r="U128" s="204">
        <v>4037</v>
      </c>
      <c r="V128" s="88">
        <v>10284</v>
      </c>
      <c r="W128" s="88">
        <v>-4558</v>
      </c>
      <c r="X128" s="88">
        <v>-10960</v>
      </c>
      <c r="Y128" s="88">
        <v>-432</v>
      </c>
      <c r="Z128" s="204">
        <v>-5666</v>
      </c>
      <c r="AA128" s="88">
        <f t="shared" si="5"/>
        <v>14344</v>
      </c>
      <c r="AB128" s="88">
        <v>1096</v>
      </c>
      <c r="AC128" s="88">
        <v>221</v>
      </c>
      <c r="AD128" s="88">
        <v>1869</v>
      </c>
      <c r="AE128" s="204">
        <v>17530</v>
      </c>
      <c r="AF128" s="88">
        <v>-1421</v>
      </c>
      <c r="AG128" s="88">
        <v>-1899</v>
      </c>
      <c r="AH128" s="88">
        <v>-576</v>
      </c>
      <c r="AI128" s="88">
        <v>2521</v>
      </c>
      <c r="AJ128" s="204">
        <v>-1375</v>
      </c>
      <c r="AK128" s="88">
        <v>-66789</v>
      </c>
      <c r="AL128" s="88">
        <v>-171</v>
      </c>
      <c r="AM128" s="88">
        <v>5774</v>
      </c>
      <c r="AN128" s="88">
        <v>4412</v>
      </c>
      <c r="AO128" s="204">
        <v>-56774</v>
      </c>
      <c r="AP128" s="88">
        <v>-6325</v>
      </c>
      <c r="AQ128" s="88">
        <v>9352</v>
      </c>
      <c r="AR128" s="88">
        <v>2793</v>
      </c>
      <c r="AS128" s="88">
        <v>5820</v>
      </c>
      <c r="AT128" s="88">
        <v>-382</v>
      </c>
      <c r="AU128" s="100">
        <v>-320</v>
      </c>
      <c r="AV128" s="204">
        <v>5438</v>
      </c>
      <c r="AW128" s="309">
        <v>5500</v>
      </c>
      <c r="AX128" s="88">
        <v>-913</v>
      </c>
      <c r="AY128" s="88">
        <v>881</v>
      </c>
      <c r="AZ128" s="88">
        <v>2261</v>
      </c>
      <c r="BA128" s="88"/>
      <c r="BB128" s="100">
        <v>2229</v>
      </c>
      <c r="BC128" s="88">
        <v>-1867</v>
      </c>
      <c r="BD128" s="204">
        <v>362</v>
      </c>
      <c r="BE128" s="378"/>
      <c r="BF128" s="106"/>
      <c r="BG128" s="106"/>
      <c r="BH128" s="106"/>
      <c r="BI128" s="106"/>
      <c r="BJ128" s="106"/>
      <c r="BK128" s="106"/>
      <c r="BL128" s="106"/>
      <c r="BM128" s="106"/>
      <c r="BN128" s="106"/>
      <c r="BO128" s="106"/>
      <c r="BP128" s="106"/>
      <c r="BQ128" s="106"/>
      <c r="BR128" s="106"/>
      <c r="BS128" s="106"/>
      <c r="BT128" s="106"/>
      <c r="BU128" s="106"/>
      <c r="BV128" s="106"/>
      <c r="BW128" s="106"/>
    </row>
    <row r="129" spans="1:75" ht="12.75">
      <c r="A129" s="185" t="s">
        <v>205</v>
      </c>
      <c r="B129" s="96">
        <v>3049</v>
      </c>
      <c r="C129" s="96">
        <v>-13835</v>
      </c>
      <c r="D129" s="96">
        <v>-7169</v>
      </c>
      <c r="E129" s="96">
        <v>14778</v>
      </c>
      <c r="F129" s="205">
        <v>-3177</v>
      </c>
      <c r="G129" s="96">
        <v>12186</v>
      </c>
      <c r="H129" s="96">
        <v>28975</v>
      </c>
      <c r="I129" s="96">
        <v>16821</v>
      </c>
      <c r="J129" s="96">
        <v>-813</v>
      </c>
      <c r="K129" s="205">
        <v>57169</v>
      </c>
      <c r="L129" s="96">
        <v>28147</v>
      </c>
      <c r="M129" s="96">
        <v>292</v>
      </c>
      <c r="N129" s="96">
        <v>28629</v>
      </c>
      <c r="O129" s="96">
        <v>26003</v>
      </c>
      <c r="P129" s="205">
        <v>83071</v>
      </c>
      <c r="Q129" s="96">
        <v>61821</v>
      </c>
      <c r="R129" s="96">
        <v>47684</v>
      </c>
      <c r="S129" s="96">
        <v>81643</v>
      </c>
      <c r="T129" s="96">
        <v>57623</v>
      </c>
      <c r="U129" s="205">
        <v>248771</v>
      </c>
      <c r="V129" s="96">
        <v>92420</v>
      </c>
      <c r="W129" s="96">
        <v>77425</v>
      </c>
      <c r="X129" s="96">
        <v>69861</v>
      </c>
      <c r="Y129" s="96">
        <v>64730</v>
      </c>
      <c r="Z129" s="205">
        <v>304436</v>
      </c>
      <c r="AA129" s="96">
        <f t="shared" si="5"/>
        <v>155167</v>
      </c>
      <c r="AB129" s="96">
        <v>102326</v>
      </c>
      <c r="AC129" s="96">
        <v>94754</v>
      </c>
      <c r="AD129" s="96">
        <v>42566</v>
      </c>
      <c r="AE129" s="205">
        <v>394813</v>
      </c>
      <c r="AF129" s="96">
        <v>75100</v>
      </c>
      <c r="AG129" s="96">
        <v>91538</v>
      </c>
      <c r="AH129" s="96">
        <v>95965</v>
      </c>
      <c r="AI129" s="96">
        <v>92902</v>
      </c>
      <c r="AJ129" s="205">
        <v>355505</v>
      </c>
      <c r="AK129" s="96">
        <v>67301</v>
      </c>
      <c r="AL129" s="96">
        <v>89093</v>
      </c>
      <c r="AM129" s="96">
        <v>36642</v>
      </c>
      <c r="AN129" s="96">
        <v>6376</v>
      </c>
      <c r="AO129" s="205">
        <v>199412</v>
      </c>
      <c r="AP129" s="96">
        <v>67409</v>
      </c>
      <c r="AQ129" s="96">
        <v>78846</v>
      </c>
      <c r="AR129" s="96">
        <v>36373</v>
      </c>
      <c r="AS129" s="96">
        <v>165656</v>
      </c>
      <c r="AT129" s="96">
        <v>21476</v>
      </c>
      <c r="AU129" s="294">
        <v>24960</v>
      </c>
      <c r="AV129" s="205">
        <v>187132</v>
      </c>
      <c r="AW129" s="310">
        <v>190616</v>
      </c>
      <c r="AX129" s="96">
        <v>50120</v>
      </c>
      <c r="AY129" s="96">
        <v>40294</v>
      </c>
      <c r="AZ129" s="96">
        <v>65260</v>
      </c>
      <c r="BA129" s="96"/>
      <c r="BB129" s="294">
        <v>155674</v>
      </c>
      <c r="BC129" s="96">
        <v>40499</v>
      </c>
      <c r="BD129" s="205">
        <v>196173</v>
      </c>
      <c r="BE129" s="386"/>
      <c r="BF129" s="108"/>
      <c r="BG129" s="108"/>
      <c r="BH129" s="108"/>
      <c r="BI129" s="108"/>
      <c r="BJ129" s="108"/>
      <c r="BK129" s="108"/>
      <c r="BL129" s="108"/>
      <c r="BM129" s="108"/>
      <c r="BN129" s="108"/>
      <c r="BO129" s="108"/>
      <c r="BP129" s="108"/>
      <c r="BQ129" s="108"/>
      <c r="BR129" s="108"/>
      <c r="BS129" s="108"/>
      <c r="BT129" s="108"/>
      <c r="BU129" s="108"/>
      <c r="BV129" s="108"/>
      <c r="BW129" s="108"/>
    </row>
    <row r="130" spans="1:75" ht="12.75">
      <c r="A130" s="128" t="s">
        <v>206</v>
      </c>
      <c r="BE130" s="378"/>
      <c r="BF130" s="106"/>
      <c r="BG130" s="106"/>
      <c r="BH130" s="106"/>
      <c r="BI130" s="106"/>
      <c r="BJ130" s="106"/>
      <c r="BK130" s="106"/>
      <c r="BL130" s="106"/>
      <c r="BM130" s="106"/>
      <c r="BN130" s="106"/>
      <c r="BO130" s="106"/>
      <c r="BP130" s="106"/>
      <c r="BQ130" s="106"/>
      <c r="BR130" s="106"/>
      <c r="BS130" s="106"/>
      <c r="BT130" s="106"/>
      <c r="BU130" s="106"/>
      <c r="BV130" s="106"/>
      <c r="BW130" s="106"/>
    </row>
    <row r="131" spans="1:75" ht="12.75">
      <c r="A131" s="128"/>
      <c r="BE131" s="378"/>
      <c r="BF131" s="106"/>
      <c r="BG131" s="106"/>
      <c r="BH131" s="106"/>
      <c r="BI131" s="106"/>
      <c r="BJ131" s="106"/>
      <c r="BK131" s="106"/>
      <c r="BL131" s="106"/>
      <c r="BM131" s="106"/>
      <c r="BN131" s="106"/>
      <c r="BO131" s="106"/>
      <c r="BP131" s="106"/>
      <c r="BQ131" s="106"/>
      <c r="BR131" s="106"/>
      <c r="BS131" s="106"/>
      <c r="BT131" s="106"/>
      <c r="BU131" s="106"/>
      <c r="BV131" s="106"/>
      <c r="BW131" s="106"/>
    </row>
    <row r="132" spans="57:75" ht="12.75">
      <c r="BE132" s="378"/>
      <c r="BF132" s="106"/>
      <c r="BG132" s="106"/>
      <c r="BH132" s="106"/>
      <c r="BI132" s="106"/>
      <c r="BJ132" s="106"/>
      <c r="BK132" s="106"/>
      <c r="BL132" s="106"/>
      <c r="BM132" s="106"/>
      <c r="BN132" s="106"/>
      <c r="BO132" s="106"/>
      <c r="BP132" s="106"/>
      <c r="BQ132" s="106"/>
      <c r="BR132" s="106"/>
      <c r="BS132" s="106"/>
      <c r="BT132" s="106"/>
      <c r="BU132" s="106"/>
      <c r="BV132" s="106"/>
      <c r="BW132" s="106"/>
    </row>
    <row r="133" spans="1:75" ht="25.5">
      <c r="A133" s="180" t="s">
        <v>387</v>
      </c>
      <c r="B133" s="181" t="s">
        <v>2</v>
      </c>
      <c r="C133" s="181" t="s">
        <v>3</v>
      </c>
      <c r="D133" s="181" t="s">
        <v>4</v>
      </c>
      <c r="E133" s="181" t="s">
        <v>5</v>
      </c>
      <c r="F133" s="181" t="s">
        <v>6</v>
      </c>
      <c r="G133" s="181" t="s">
        <v>12</v>
      </c>
      <c r="H133" s="181" t="s">
        <v>13</v>
      </c>
      <c r="I133" s="181" t="s">
        <v>14</v>
      </c>
      <c r="J133" s="181" t="s">
        <v>15</v>
      </c>
      <c r="K133" s="181" t="s">
        <v>16</v>
      </c>
      <c r="L133" s="181" t="s">
        <v>17</v>
      </c>
      <c r="M133" s="181" t="s">
        <v>18</v>
      </c>
      <c r="N133" s="181" t="s">
        <v>19</v>
      </c>
      <c r="O133" s="181" t="s">
        <v>20</v>
      </c>
      <c r="P133" s="181" t="s">
        <v>21</v>
      </c>
      <c r="Q133" s="181" t="s">
        <v>22</v>
      </c>
      <c r="R133" s="181" t="s">
        <v>23</v>
      </c>
      <c r="S133" s="181" t="s">
        <v>24</v>
      </c>
      <c r="T133" s="181" t="s">
        <v>25</v>
      </c>
      <c r="U133" s="181" t="s">
        <v>26</v>
      </c>
      <c r="V133" s="181" t="s">
        <v>27</v>
      </c>
      <c r="W133" s="181" t="s">
        <v>28</v>
      </c>
      <c r="X133" s="181" t="s">
        <v>29</v>
      </c>
      <c r="Y133" s="181" t="s">
        <v>30</v>
      </c>
      <c r="Z133" s="181" t="s">
        <v>31</v>
      </c>
      <c r="AA133" s="181" t="s">
        <v>32</v>
      </c>
      <c r="AB133" s="181" t="s">
        <v>33</v>
      </c>
      <c r="AC133" s="181" t="s">
        <v>34</v>
      </c>
      <c r="AD133" s="181" t="s">
        <v>271</v>
      </c>
      <c r="AE133" s="181" t="s">
        <v>272</v>
      </c>
      <c r="AF133" s="181" t="s">
        <v>274</v>
      </c>
      <c r="AG133" s="181" t="s">
        <v>276</v>
      </c>
      <c r="AH133" s="181" t="s">
        <v>278</v>
      </c>
      <c r="AI133" s="188" t="s">
        <v>280</v>
      </c>
      <c r="AJ133" s="188" t="s">
        <v>281</v>
      </c>
      <c r="AK133" s="188" t="s">
        <v>289</v>
      </c>
      <c r="AL133" s="188" t="s">
        <v>290</v>
      </c>
      <c r="AM133" s="188" t="s">
        <v>291</v>
      </c>
      <c r="AN133" s="188" t="s">
        <v>292</v>
      </c>
      <c r="AO133" s="188" t="s">
        <v>293</v>
      </c>
      <c r="AP133" s="188" t="s">
        <v>329</v>
      </c>
      <c r="AQ133" s="188" t="s">
        <v>330</v>
      </c>
      <c r="AR133" s="188" t="s">
        <v>331</v>
      </c>
      <c r="AS133" s="317" t="s">
        <v>490</v>
      </c>
      <c r="AT133" s="188" t="s">
        <v>332</v>
      </c>
      <c r="AU133" s="317" t="s">
        <v>477</v>
      </c>
      <c r="AV133" s="188" t="s">
        <v>333</v>
      </c>
      <c r="AW133" s="306" t="s">
        <v>463</v>
      </c>
      <c r="AX133" s="188" t="s">
        <v>448</v>
      </c>
      <c r="AY133" s="188" t="s">
        <v>451</v>
      </c>
      <c r="AZ133" s="188" t="s">
        <v>453</v>
      </c>
      <c r="BA133" s="306"/>
      <c r="BB133" s="317" t="s">
        <v>480</v>
      </c>
      <c r="BC133" s="188" t="s">
        <v>454</v>
      </c>
      <c r="BD133" s="188" t="s">
        <v>457</v>
      </c>
      <c r="BE133" s="387"/>
      <c r="BF133" s="226"/>
      <c r="BG133" s="226"/>
      <c r="BH133" s="226"/>
      <c r="BI133" s="226"/>
      <c r="BJ133" s="226"/>
      <c r="BK133" s="226"/>
      <c r="BL133" s="226"/>
      <c r="BM133" s="226"/>
      <c r="BN133" s="226"/>
      <c r="BO133" s="226"/>
      <c r="BP133" s="226"/>
      <c r="BQ133" s="226"/>
      <c r="BR133" s="226"/>
      <c r="BS133" s="226"/>
      <c r="BT133" s="226"/>
      <c r="BU133" s="226"/>
      <c r="BV133" s="226"/>
      <c r="BW133" s="226"/>
    </row>
    <row r="134" spans="1:75" ht="12.75">
      <c r="A134" s="125"/>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7"/>
      <c r="AJ134" s="127"/>
      <c r="AK134" s="127"/>
      <c r="AL134" s="127"/>
      <c r="AM134" s="127"/>
      <c r="AN134" s="127"/>
      <c r="AO134" s="127"/>
      <c r="AP134" s="127"/>
      <c r="AQ134" s="127"/>
      <c r="AR134" s="127"/>
      <c r="AS134" s="127"/>
      <c r="AT134" s="127"/>
      <c r="AU134" s="303"/>
      <c r="AV134" s="127"/>
      <c r="AW134" s="303"/>
      <c r="AX134" s="127"/>
      <c r="AY134" s="127"/>
      <c r="AZ134" s="127"/>
      <c r="BA134" s="303"/>
      <c r="BB134" s="303"/>
      <c r="BC134" s="127"/>
      <c r="BD134" s="127"/>
      <c r="BE134" s="388"/>
      <c r="BF134" s="329"/>
      <c r="BG134" s="329"/>
      <c r="BH134" s="329"/>
      <c r="BI134" s="329"/>
      <c r="BJ134" s="329"/>
      <c r="BK134" s="329"/>
      <c r="BL134" s="329"/>
      <c r="BM134" s="329"/>
      <c r="BN134" s="329"/>
      <c r="BO134" s="329"/>
      <c r="BP134" s="329"/>
      <c r="BQ134" s="329"/>
      <c r="BR134" s="329"/>
      <c r="BS134" s="329"/>
      <c r="BT134" s="329"/>
      <c r="BU134" s="329"/>
      <c r="BV134" s="329"/>
      <c r="BW134" s="329"/>
    </row>
    <row r="135" spans="1:75" ht="12.75">
      <c r="A135" s="183" t="s">
        <v>192</v>
      </c>
      <c r="B135" s="88">
        <v>3882</v>
      </c>
      <c r="C135" s="88">
        <v>3834</v>
      </c>
      <c r="D135" s="88">
        <v>4896</v>
      </c>
      <c r="E135" s="88">
        <v>7335</v>
      </c>
      <c r="F135" s="204">
        <v>19947</v>
      </c>
      <c r="G135" s="88">
        <v>4087</v>
      </c>
      <c r="H135" s="88">
        <v>4555</v>
      </c>
      <c r="I135" s="88">
        <v>3799</v>
      </c>
      <c r="J135" s="88">
        <v>5335</v>
      </c>
      <c r="K135" s="204">
        <v>17776</v>
      </c>
      <c r="L135" s="88">
        <v>5853</v>
      </c>
      <c r="M135" s="88">
        <v>4578</v>
      </c>
      <c r="N135" s="88">
        <v>4927</v>
      </c>
      <c r="O135" s="88">
        <v>5690</v>
      </c>
      <c r="P135" s="204">
        <v>21048</v>
      </c>
      <c r="Q135" s="88">
        <v>5595</v>
      </c>
      <c r="R135" s="88">
        <v>5841</v>
      </c>
      <c r="S135" s="88">
        <v>5802</v>
      </c>
      <c r="T135" s="88">
        <v>5343</v>
      </c>
      <c r="U135" s="204">
        <v>22581</v>
      </c>
      <c r="V135" s="88">
        <v>6442</v>
      </c>
      <c r="W135" s="88">
        <v>6465</v>
      </c>
      <c r="X135" s="88">
        <v>5428</v>
      </c>
      <c r="Y135" s="88">
        <v>13315</v>
      </c>
      <c r="Z135" s="204">
        <v>31650</v>
      </c>
      <c r="AA135" s="88">
        <f aca="true" t="shared" si="6" ref="AA135:AA141">AE135-AD135-AC135-AB135</f>
        <v>7329</v>
      </c>
      <c r="AB135" s="88">
        <v>9207</v>
      </c>
      <c r="AC135" s="88">
        <v>7690</v>
      </c>
      <c r="AD135" s="88">
        <v>11888</v>
      </c>
      <c r="AE135" s="204">
        <v>36114</v>
      </c>
      <c r="AF135" s="88">
        <v>9817</v>
      </c>
      <c r="AG135" s="88">
        <v>6613</v>
      </c>
      <c r="AH135" s="88">
        <v>14008</v>
      </c>
      <c r="AI135" s="88">
        <v>9966</v>
      </c>
      <c r="AJ135" s="204">
        <v>40404</v>
      </c>
      <c r="AK135" s="88">
        <v>7180</v>
      </c>
      <c r="AL135" s="88">
        <v>6601</v>
      </c>
      <c r="AM135" s="88">
        <v>10509</v>
      </c>
      <c r="AN135" s="88">
        <v>12486</v>
      </c>
      <c r="AO135" s="204">
        <v>36776</v>
      </c>
      <c r="AP135" s="88">
        <v>10301</v>
      </c>
      <c r="AQ135" s="88">
        <v>12917</v>
      </c>
      <c r="AR135" s="88">
        <v>9557</v>
      </c>
      <c r="AS135" s="88">
        <v>32882</v>
      </c>
      <c r="AT135" s="88">
        <v>2273</v>
      </c>
      <c r="AU135" s="100">
        <v>2313</v>
      </c>
      <c r="AV135" s="204">
        <v>35048</v>
      </c>
      <c r="AW135" s="309">
        <v>35195</v>
      </c>
      <c r="AX135" s="88">
        <v>11228</v>
      </c>
      <c r="AY135" s="88">
        <v>10127</v>
      </c>
      <c r="AZ135" s="88">
        <v>7765</v>
      </c>
      <c r="BA135" s="100"/>
      <c r="BB135" s="100">
        <v>29120</v>
      </c>
      <c r="BC135" s="88">
        <v>15596</v>
      </c>
      <c r="BD135" s="204">
        <v>44716</v>
      </c>
      <c r="BE135" s="378"/>
      <c r="BF135" s="106"/>
      <c r="BG135" s="106"/>
      <c r="BH135" s="106"/>
      <c r="BI135" s="106"/>
      <c r="BJ135" s="106"/>
      <c r="BK135" s="106"/>
      <c r="BL135" s="106"/>
      <c r="BM135" s="106"/>
      <c r="BN135" s="106"/>
      <c r="BO135" s="106"/>
      <c r="BP135" s="106"/>
      <c r="BQ135" s="106"/>
      <c r="BR135" s="106"/>
      <c r="BS135" s="106"/>
      <c r="BT135" s="106"/>
      <c r="BU135" s="106"/>
      <c r="BV135" s="106"/>
      <c r="BW135" s="106"/>
    </row>
    <row r="136" spans="1:75" ht="12.75">
      <c r="A136" s="183" t="s">
        <v>193</v>
      </c>
      <c r="B136" s="88">
        <v>6332</v>
      </c>
      <c r="C136" s="88">
        <v>6501</v>
      </c>
      <c r="D136" s="88">
        <v>6522</v>
      </c>
      <c r="E136" s="88">
        <v>7092</v>
      </c>
      <c r="F136" s="204">
        <v>26447</v>
      </c>
      <c r="G136" s="88">
        <v>6574</v>
      </c>
      <c r="H136" s="88">
        <v>6721</v>
      </c>
      <c r="I136" s="88">
        <v>6819</v>
      </c>
      <c r="J136" s="88">
        <v>7070</v>
      </c>
      <c r="K136" s="204">
        <v>27184</v>
      </c>
      <c r="L136" s="88">
        <v>6436</v>
      </c>
      <c r="M136" s="88">
        <v>11087</v>
      </c>
      <c r="N136" s="88">
        <v>11378</v>
      </c>
      <c r="O136" s="88">
        <v>12129</v>
      </c>
      <c r="P136" s="204">
        <v>41030</v>
      </c>
      <c r="Q136" s="88">
        <v>11761</v>
      </c>
      <c r="R136" s="88">
        <v>13154</v>
      </c>
      <c r="S136" s="88">
        <v>11800</v>
      </c>
      <c r="T136" s="88">
        <v>19458</v>
      </c>
      <c r="U136" s="204">
        <v>56173</v>
      </c>
      <c r="V136" s="88">
        <v>12895</v>
      </c>
      <c r="W136" s="88">
        <v>14490</v>
      </c>
      <c r="X136" s="88">
        <v>13734</v>
      </c>
      <c r="Y136" s="88">
        <v>20288</v>
      </c>
      <c r="Z136" s="204">
        <v>61407</v>
      </c>
      <c r="AA136" s="88">
        <f t="shared" si="6"/>
        <v>16095</v>
      </c>
      <c r="AB136" s="88">
        <v>15408</v>
      </c>
      <c r="AC136" s="88">
        <v>15868</v>
      </c>
      <c r="AD136" s="88">
        <v>14825</v>
      </c>
      <c r="AE136" s="204">
        <v>62196</v>
      </c>
      <c r="AF136" s="88">
        <v>15559</v>
      </c>
      <c r="AG136" s="88">
        <v>16047</v>
      </c>
      <c r="AH136" s="88">
        <v>15784</v>
      </c>
      <c r="AI136" s="88">
        <v>15819</v>
      </c>
      <c r="AJ136" s="204">
        <v>63209</v>
      </c>
      <c r="AK136" s="88">
        <v>17697</v>
      </c>
      <c r="AL136" s="88">
        <v>17302</v>
      </c>
      <c r="AM136" s="88">
        <v>18346</v>
      </c>
      <c r="AN136" s="88">
        <v>21266</v>
      </c>
      <c r="AO136" s="204">
        <v>74611</v>
      </c>
      <c r="AP136" s="88">
        <v>19875</v>
      </c>
      <c r="AQ136" s="88">
        <v>21909</v>
      </c>
      <c r="AR136" s="88">
        <v>19677</v>
      </c>
      <c r="AS136" s="88">
        <v>61675</v>
      </c>
      <c r="AT136" s="88">
        <v>21267</v>
      </c>
      <c r="AU136" s="100">
        <v>26213</v>
      </c>
      <c r="AV136" s="204">
        <v>82728</v>
      </c>
      <c r="AW136" s="309">
        <v>87888</v>
      </c>
      <c r="AX136" s="88">
        <v>20339</v>
      </c>
      <c r="AY136" s="88">
        <v>20878</v>
      </c>
      <c r="AZ136" s="88">
        <v>21543</v>
      </c>
      <c r="BA136" s="100"/>
      <c r="BB136" s="100">
        <v>62760</v>
      </c>
      <c r="BC136" s="88">
        <v>23416</v>
      </c>
      <c r="BD136" s="204">
        <v>86176</v>
      </c>
      <c r="BE136" s="378"/>
      <c r="BF136" s="106"/>
      <c r="BG136" s="106"/>
      <c r="BH136" s="106"/>
      <c r="BI136" s="106"/>
      <c r="BJ136" s="106"/>
      <c r="BK136" s="106"/>
      <c r="BL136" s="106"/>
      <c r="BM136" s="106"/>
      <c r="BN136" s="106"/>
      <c r="BO136" s="106"/>
      <c r="BP136" s="106"/>
      <c r="BQ136" s="106"/>
      <c r="BR136" s="106"/>
      <c r="BS136" s="106"/>
      <c r="BT136" s="106"/>
      <c r="BU136" s="106"/>
      <c r="BV136" s="106"/>
      <c r="BW136" s="106"/>
    </row>
    <row r="137" spans="1:75" ht="12.75">
      <c r="A137" s="183" t="s">
        <v>432</v>
      </c>
      <c r="B137" s="88">
        <v>2744</v>
      </c>
      <c r="C137" s="88">
        <v>2553</v>
      </c>
      <c r="D137" s="88">
        <v>2892</v>
      </c>
      <c r="E137" s="88">
        <v>4904</v>
      </c>
      <c r="F137" s="204">
        <v>13093</v>
      </c>
      <c r="G137" s="88">
        <v>2675</v>
      </c>
      <c r="H137" s="88">
        <v>2693</v>
      </c>
      <c r="I137" s="88">
        <v>2726</v>
      </c>
      <c r="J137" s="88">
        <v>3176</v>
      </c>
      <c r="K137" s="204">
        <v>11270</v>
      </c>
      <c r="L137" s="88">
        <v>2990</v>
      </c>
      <c r="M137" s="88">
        <v>2682</v>
      </c>
      <c r="N137" s="88">
        <v>2540</v>
      </c>
      <c r="O137" s="88">
        <v>2715</v>
      </c>
      <c r="P137" s="204">
        <v>10927</v>
      </c>
      <c r="Q137" s="88">
        <v>2294</v>
      </c>
      <c r="R137" s="88">
        <v>607</v>
      </c>
      <c r="S137" s="88">
        <v>1360</v>
      </c>
      <c r="T137" s="88">
        <v>2333</v>
      </c>
      <c r="U137" s="204">
        <v>6594</v>
      </c>
      <c r="V137" s="88">
        <v>1533</v>
      </c>
      <c r="W137" s="88">
        <v>1568</v>
      </c>
      <c r="X137" s="88">
        <v>1648</v>
      </c>
      <c r="Y137" s="88">
        <v>2096</v>
      </c>
      <c r="Z137" s="204">
        <v>6845</v>
      </c>
      <c r="AA137" s="88">
        <f t="shared" si="6"/>
        <v>1968</v>
      </c>
      <c r="AB137" s="88">
        <v>1339</v>
      </c>
      <c r="AC137" s="88">
        <v>1634</v>
      </c>
      <c r="AD137" s="88">
        <v>1806</v>
      </c>
      <c r="AE137" s="204">
        <v>6747</v>
      </c>
      <c r="AF137" s="88">
        <v>1651</v>
      </c>
      <c r="AG137" s="88">
        <v>1749</v>
      </c>
      <c r="AH137" s="88">
        <v>1707</v>
      </c>
      <c r="AI137" s="88">
        <v>2335</v>
      </c>
      <c r="AJ137" s="204">
        <v>7442</v>
      </c>
      <c r="AK137" s="88">
        <v>2117</v>
      </c>
      <c r="AL137" s="88">
        <v>2203</v>
      </c>
      <c r="AM137" s="88">
        <v>2491</v>
      </c>
      <c r="AN137" s="88">
        <v>3074</v>
      </c>
      <c r="AO137" s="204">
        <v>9885</v>
      </c>
      <c r="AP137" s="88">
        <v>2499</v>
      </c>
      <c r="AQ137" s="88">
        <v>2594</v>
      </c>
      <c r="AR137" s="88">
        <v>2762</v>
      </c>
      <c r="AS137" s="88">
        <v>9190</v>
      </c>
      <c r="AT137" s="88">
        <v>5097</v>
      </c>
      <c r="AU137" s="100">
        <v>6501</v>
      </c>
      <c r="AV137" s="204">
        <v>12952</v>
      </c>
      <c r="AW137" s="309">
        <v>15691</v>
      </c>
      <c r="AX137" s="88">
        <v>4936</v>
      </c>
      <c r="AY137" s="88">
        <v>5423</v>
      </c>
      <c r="AZ137" s="88">
        <v>4847</v>
      </c>
      <c r="BA137" s="100"/>
      <c r="BB137" s="100">
        <v>15206</v>
      </c>
      <c r="BC137" s="88">
        <v>4649</v>
      </c>
      <c r="BD137" s="204">
        <v>19855</v>
      </c>
      <c r="BE137" s="378"/>
      <c r="BF137" s="106"/>
      <c r="BG137" s="106"/>
      <c r="BH137" s="106"/>
      <c r="BI137" s="106"/>
      <c r="BJ137" s="106"/>
      <c r="BK137" s="106"/>
      <c r="BL137" s="106"/>
      <c r="BM137" s="106"/>
      <c r="BN137" s="106"/>
      <c r="BO137" s="106"/>
      <c r="BP137" s="106"/>
      <c r="BQ137" s="106"/>
      <c r="BR137" s="106"/>
      <c r="BS137" s="106"/>
      <c r="BT137" s="106"/>
      <c r="BU137" s="106"/>
      <c r="BV137" s="106"/>
      <c r="BW137" s="106"/>
    </row>
    <row r="138" spans="1:75" ht="12.75">
      <c r="A138" s="183" t="s">
        <v>62</v>
      </c>
      <c r="B138" s="88">
        <v>3376</v>
      </c>
      <c r="C138" s="88">
        <v>2209</v>
      </c>
      <c r="D138" s="88">
        <v>2663</v>
      </c>
      <c r="E138" s="88">
        <v>2297</v>
      </c>
      <c r="F138" s="204">
        <v>10545</v>
      </c>
      <c r="G138" s="88">
        <v>2306</v>
      </c>
      <c r="H138" s="88">
        <v>1961</v>
      </c>
      <c r="I138" s="88">
        <v>2310</v>
      </c>
      <c r="J138" s="88">
        <v>2462</v>
      </c>
      <c r="K138" s="204">
        <v>9039</v>
      </c>
      <c r="L138" s="88">
        <v>2178</v>
      </c>
      <c r="M138" s="88">
        <v>2809</v>
      </c>
      <c r="N138" s="88">
        <v>3229</v>
      </c>
      <c r="O138" s="88">
        <v>4999</v>
      </c>
      <c r="P138" s="204">
        <v>13215</v>
      </c>
      <c r="Q138" s="88">
        <v>2800</v>
      </c>
      <c r="R138" s="88">
        <v>2949</v>
      </c>
      <c r="S138" s="88">
        <v>2979</v>
      </c>
      <c r="T138" s="88">
        <v>3564</v>
      </c>
      <c r="U138" s="204">
        <v>12292</v>
      </c>
      <c r="V138" s="88">
        <v>3358</v>
      </c>
      <c r="W138" s="88">
        <v>3738</v>
      </c>
      <c r="X138" s="88">
        <v>3951</v>
      </c>
      <c r="Y138" s="88">
        <v>2970</v>
      </c>
      <c r="Z138" s="204">
        <v>14017</v>
      </c>
      <c r="AA138" s="88">
        <f t="shared" si="6"/>
        <v>4408</v>
      </c>
      <c r="AB138" s="88">
        <v>4527</v>
      </c>
      <c r="AC138" s="88">
        <v>4605</v>
      </c>
      <c r="AD138" s="88">
        <v>4947</v>
      </c>
      <c r="AE138" s="204">
        <v>18487</v>
      </c>
      <c r="AF138" s="88">
        <v>4595</v>
      </c>
      <c r="AG138" s="88">
        <v>4902</v>
      </c>
      <c r="AH138" s="88">
        <v>4755</v>
      </c>
      <c r="AI138" s="88">
        <v>5150</v>
      </c>
      <c r="AJ138" s="204">
        <v>19402</v>
      </c>
      <c r="AK138" s="88">
        <v>4776</v>
      </c>
      <c r="AL138" s="88">
        <v>5529</v>
      </c>
      <c r="AM138" s="88">
        <v>4537</v>
      </c>
      <c r="AN138" s="88">
        <v>4833</v>
      </c>
      <c r="AO138" s="204">
        <v>19675</v>
      </c>
      <c r="AP138" s="88">
        <v>4727</v>
      </c>
      <c r="AQ138" s="88">
        <v>4697</v>
      </c>
      <c r="AR138" s="88">
        <v>4740</v>
      </c>
      <c r="AS138" s="88">
        <v>14175</v>
      </c>
      <c r="AT138" s="88">
        <v>4129</v>
      </c>
      <c r="AU138" s="100">
        <v>4133</v>
      </c>
      <c r="AV138" s="204">
        <v>18293</v>
      </c>
      <c r="AW138" s="309">
        <v>18308</v>
      </c>
      <c r="AX138" s="88">
        <v>4249</v>
      </c>
      <c r="AY138" s="88">
        <v>4421</v>
      </c>
      <c r="AZ138" s="88">
        <v>4568</v>
      </c>
      <c r="BA138" s="100"/>
      <c r="BB138" s="100">
        <v>13238</v>
      </c>
      <c r="BC138" s="88">
        <v>4617</v>
      </c>
      <c r="BD138" s="204">
        <v>17855</v>
      </c>
      <c r="BE138" s="378"/>
      <c r="BF138" s="106"/>
      <c r="BG138" s="106"/>
      <c r="BH138" s="106"/>
      <c r="BI138" s="106"/>
      <c r="BJ138" s="106"/>
      <c r="BK138" s="106"/>
      <c r="BL138" s="106"/>
      <c r="BM138" s="106"/>
      <c r="BN138" s="106"/>
      <c r="BO138" s="106"/>
      <c r="BP138" s="106"/>
      <c r="BQ138" s="106"/>
      <c r="BR138" s="106"/>
      <c r="BS138" s="106"/>
      <c r="BT138" s="106"/>
      <c r="BU138" s="106"/>
      <c r="BV138" s="106"/>
      <c r="BW138" s="106"/>
    </row>
    <row r="139" spans="1:75" ht="12.75">
      <c r="A139" s="183" t="s">
        <v>195</v>
      </c>
      <c r="B139" s="88">
        <v>1251</v>
      </c>
      <c r="C139" s="88">
        <v>1347</v>
      </c>
      <c r="D139" s="88">
        <v>1269</v>
      </c>
      <c r="E139" s="88">
        <v>1427</v>
      </c>
      <c r="F139" s="204">
        <v>5294</v>
      </c>
      <c r="G139" s="88">
        <v>684</v>
      </c>
      <c r="H139" s="88">
        <v>819</v>
      </c>
      <c r="I139" s="88">
        <v>871</v>
      </c>
      <c r="J139" s="88">
        <v>3965</v>
      </c>
      <c r="K139" s="204">
        <v>6339</v>
      </c>
      <c r="L139" s="88">
        <v>2720</v>
      </c>
      <c r="M139" s="88">
        <v>1761</v>
      </c>
      <c r="N139" s="88">
        <v>2062</v>
      </c>
      <c r="O139" s="88">
        <v>2687</v>
      </c>
      <c r="P139" s="204">
        <v>9230</v>
      </c>
      <c r="Q139" s="88">
        <v>2339</v>
      </c>
      <c r="R139" s="88">
        <v>2432</v>
      </c>
      <c r="S139" s="88">
        <v>2797</v>
      </c>
      <c r="T139" s="88">
        <v>3351</v>
      </c>
      <c r="U139" s="204">
        <v>10919</v>
      </c>
      <c r="V139" s="88">
        <v>2659</v>
      </c>
      <c r="W139" s="88">
        <v>2935</v>
      </c>
      <c r="X139" s="88">
        <v>1740</v>
      </c>
      <c r="Y139" s="88">
        <v>2247</v>
      </c>
      <c r="Z139" s="204">
        <v>9581</v>
      </c>
      <c r="AA139" s="88">
        <f t="shared" si="6"/>
        <v>2053</v>
      </c>
      <c r="AB139" s="88">
        <v>2121</v>
      </c>
      <c r="AC139" s="88">
        <v>2572</v>
      </c>
      <c r="AD139" s="88">
        <v>2537</v>
      </c>
      <c r="AE139" s="204">
        <v>9283</v>
      </c>
      <c r="AF139" s="88">
        <v>2456</v>
      </c>
      <c r="AG139" s="88">
        <v>2725</v>
      </c>
      <c r="AH139" s="88">
        <v>2562</v>
      </c>
      <c r="AI139" s="88">
        <v>2338</v>
      </c>
      <c r="AJ139" s="204">
        <v>10081</v>
      </c>
      <c r="AK139" s="88">
        <v>2553</v>
      </c>
      <c r="AL139" s="88">
        <v>2517</v>
      </c>
      <c r="AM139" s="88">
        <v>2630</v>
      </c>
      <c r="AN139" s="88">
        <v>3281</v>
      </c>
      <c r="AO139" s="204">
        <v>10981</v>
      </c>
      <c r="AP139" s="88">
        <v>2821</v>
      </c>
      <c r="AQ139" s="88">
        <v>3063</v>
      </c>
      <c r="AR139" s="88">
        <v>2729</v>
      </c>
      <c r="AS139" s="88">
        <v>8680</v>
      </c>
      <c r="AT139" s="88">
        <v>8466</v>
      </c>
      <c r="AU139" s="100">
        <v>3778</v>
      </c>
      <c r="AV139" s="204">
        <v>17079</v>
      </c>
      <c r="AW139" s="309">
        <v>12458</v>
      </c>
      <c r="AX139" s="88">
        <v>2773</v>
      </c>
      <c r="AY139" s="88">
        <v>2727</v>
      </c>
      <c r="AZ139" s="88">
        <v>2799</v>
      </c>
      <c r="BA139" s="100"/>
      <c r="BB139" s="100">
        <v>8299</v>
      </c>
      <c r="BC139" s="88">
        <v>3302</v>
      </c>
      <c r="BD139" s="204">
        <v>11601</v>
      </c>
      <c r="BE139" s="378"/>
      <c r="BF139" s="106"/>
      <c r="BG139" s="106"/>
      <c r="BH139" s="106"/>
      <c r="BI139" s="106"/>
      <c r="BJ139" s="106"/>
      <c r="BK139" s="106"/>
      <c r="BL139" s="106"/>
      <c r="BM139" s="106"/>
      <c r="BN139" s="106"/>
      <c r="BO139" s="106"/>
      <c r="BP139" s="106"/>
      <c r="BQ139" s="106"/>
      <c r="BR139" s="106"/>
      <c r="BS139" s="106"/>
      <c r="BT139" s="106"/>
      <c r="BU139" s="106"/>
      <c r="BV139" s="106"/>
      <c r="BW139" s="106"/>
    </row>
    <row r="140" spans="1:75" ht="12.75">
      <c r="A140" s="183" t="s">
        <v>450</v>
      </c>
      <c r="B140" s="88"/>
      <c r="C140" s="88"/>
      <c r="D140" s="88"/>
      <c r="E140" s="88"/>
      <c r="F140" s="204"/>
      <c r="G140" s="88"/>
      <c r="H140" s="88"/>
      <c r="I140" s="88"/>
      <c r="J140" s="88"/>
      <c r="K140" s="204"/>
      <c r="L140" s="88"/>
      <c r="M140" s="88"/>
      <c r="N140" s="88"/>
      <c r="O140" s="88"/>
      <c r="P140" s="204"/>
      <c r="Q140" s="88"/>
      <c r="R140" s="88"/>
      <c r="S140" s="88"/>
      <c r="T140" s="88"/>
      <c r="U140" s="204"/>
      <c r="V140" s="88"/>
      <c r="W140" s="88"/>
      <c r="X140" s="88"/>
      <c r="Y140" s="88"/>
      <c r="Z140" s="204"/>
      <c r="AA140" s="88"/>
      <c r="AB140" s="88"/>
      <c r="AC140" s="88"/>
      <c r="AD140" s="88"/>
      <c r="AE140" s="204"/>
      <c r="AF140" s="88"/>
      <c r="AG140" s="88"/>
      <c r="AH140" s="88"/>
      <c r="AI140" s="88"/>
      <c r="AJ140" s="204"/>
      <c r="AK140" s="88"/>
      <c r="AL140" s="88"/>
      <c r="AM140" s="88"/>
      <c r="AN140" s="88"/>
      <c r="AO140" s="204"/>
      <c r="AP140" s="88"/>
      <c r="AQ140" s="88"/>
      <c r="AR140" s="88"/>
      <c r="AS140" s="88">
        <v>-1734</v>
      </c>
      <c r="AT140" s="88"/>
      <c r="AU140" s="100">
        <v>-1383</v>
      </c>
      <c r="AV140" s="204"/>
      <c r="AW140" s="309">
        <v>-3117</v>
      </c>
      <c r="AX140" s="88">
        <v>-824</v>
      </c>
      <c r="AY140" s="88">
        <v>-1342</v>
      </c>
      <c r="AZ140" s="88">
        <v>-622</v>
      </c>
      <c r="BA140" s="100"/>
      <c r="BB140" s="100">
        <v>-2788</v>
      </c>
      <c r="BC140" s="88">
        <v>-662</v>
      </c>
      <c r="BD140" s="204">
        <v>-3450</v>
      </c>
      <c r="BE140" s="378"/>
      <c r="BF140" s="106"/>
      <c r="BG140" s="106"/>
      <c r="BH140" s="106"/>
      <c r="BI140" s="106"/>
      <c r="BJ140" s="106"/>
      <c r="BK140" s="106"/>
      <c r="BL140" s="106"/>
      <c r="BM140" s="106"/>
      <c r="BN140" s="106"/>
      <c r="BO140" s="106"/>
      <c r="BP140" s="106"/>
      <c r="BQ140" s="106"/>
      <c r="BR140" s="106"/>
      <c r="BS140" s="106"/>
      <c r="BT140" s="106"/>
      <c r="BU140" s="106"/>
      <c r="BV140" s="106"/>
      <c r="BW140" s="106"/>
    </row>
    <row r="141" spans="1:75" s="116" customFormat="1" ht="12.75">
      <c r="A141" s="185" t="s">
        <v>205</v>
      </c>
      <c r="B141" s="96">
        <v>17585</v>
      </c>
      <c r="C141" s="96">
        <v>16444</v>
      </c>
      <c r="D141" s="96">
        <v>18242</v>
      </c>
      <c r="E141" s="96">
        <v>23055</v>
      </c>
      <c r="F141" s="205">
        <v>75326</v>
      </c>
      <c r="G141" s="96">
        <v>16326</v>
      </c>
      <c r="H141" s="96">
        <v>16749</v>
      </c>
      <c r="I141" s="96">
        <v>16525</v>
      </c>
      <c r="J141" s="96">
        <v>22008</v>
      </c>
      <c r="K141" s="205">
        <v>71608</v>
      </c>
      <c r="L141" s="96">
        <v>20177</v>
      </c>
      <c r="M141" s="96">
        <v>22917</v>
      </c>
      <c r="N141" s="96">
        <v>24136</v>
      </c>
      <c r="O141" s="96">
        <v>28220</v>
      </c>
      <c r="P141" s="205">
        <v>95450</v>
      </c>
      <c r="Q141" s="96">
        <v>24789</v>
      </c>
      <c r="R141" s="96">
        <v>24983</v>
      </c>
      <c r="S141" s="96">
        <v>24738</v>
      </c>
      <c r="T141" s="96">
        <v>34049</v>
      </c>
      <c r="U141" s="205">
        <v>108559</v>
      </c>
      <c r="V141" s="96">
        <v>26887</v>
      </c>
      <c r="W141" s="96">
        <v>29196</v>
      </c>
      <c r="X141" s="96">
        <v>26501</v>
      </c>
      <c r="Y141" s="96">
        <v>40916</v>
      </c>
      <c r="Z141" s="205">
        <v>123500</v>
      </c>
      <c r="AA141" s="96">
        <f t="shared" si="6"/>
        <v>31853</v>
      </c>
      <c r="AB141" s="96">
        <v>32602</v>
      </c>
      <c r="AC141" s="96">
        <v>32369</v>
      </c>
      <c r="AD141" s="96">
        <v>36003</v>
      </c>
      <c r="AE141" s="205">
        <v>132827</v>
      </c>
      <c r="AF141" s="96">
        <v>34078</v>
      </c>
      <c r="AG141" s="96">
        <v>32036</v>
      </c>
      <c r="AH141" s="96">
        <v>38816</v>
      </c>
      <c r="AI141" s="96">
        <v>35608</v>
      </c>
      <c r="AJ141" s="205">
        <v>140538</v>
      </c>
      <c r="AK141" s="96">
        <v>34323</v>
      </c>
      <c r="AL141" s="96">
        <f>SUM(AL135:AL139)</f>
        <v>34152</v>
      </c>
      <c r="AM141" s="96">
        <v>38513</v>
      </c>
      <c r="AN141" s="96">
        <v>44940</v>
      </c>
      <c r="AO141" s="205">
        <v>151928</v>
      </c>
      <c r="AP141" s="96">
        <v>40223</v>
      </c>
      <c r="AQ141" s="96">
        <v>45180</v>
      </c>
      <c r="AR141" s="96">
        <v>39465</v>
      </c>
      <c r="AS141" s="96">
        <v>124868</v>
      </c>
      <c r="AT141" s="88">
        <f>SUM(AT135:AT139)</f>
        <v>41232</v>
      </c>
      <c r="AU141" s="100">
        <v>41555</v>
      </c>
      <c r="AV141" s="205">
        <f>SUM(AV135:AV139)</f>
        <v>166100</v>
      </c>
      <c r="AW141" s="310">
        <v>166423</v>
      </c>
      <c r="AX141" s="96">
        <v>42701</v>
      </c>
      <c r="AY141" s="96">
        <v>42234</v>
      </c>
      <c r="AZ141" s="96">
        <v>40900</v>
      </c>
      <c r="BA141" s="294"/>
      <c r="BB141" s="294">
        <v>125835</v>
      </c>
      <c r="BC141" s="96">
        <v>50918</v>
      </c>
      <c r="BD141" s="205">
        <v>176753</v>
      </c>
      <c r="BE141" s="386"/>
      <c r="BF141" s="108"/>
      <c r="BG141" s="108"/>
      <c r="BH141" s="108"/>
      <c r="BI141" s="108"/>
      <c r="BJ141" s="108"/>
      <c r="BK141" s="108"/>
      <c r="BL141" s="108"/>
      <c r="BM141" s="108"/>
      <c r="BN141" s="108"/>
      <c r="BO141" s="108"/>
      <c r="BP141" s="108"/>
      <c r="BQ141" s="108"/>
      <c r="BR141" s="108"/>
      <c r="BS141" s="108"/>
      <c r="BT141" s="108"/>
      <c r="BU141" s="108"/>
      <c r="BV141" s="108"/>
      <c r="BW141" s="108"/>
    </row>
    <row r="142" spans="1:75" ht="12.75">
      <c r="A142" s="125"/>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P142" s="116"/>
      <c r="AQ142" s="116"/>
      <c r="AX142" s="116"/>
      <c r="AY142" s="116"/>
      <c r="AZ142" s="116"/>
      <c r="BA142" s="302"/>
      <c r="BB142" s="302"/>
      <c r="BC142" s="116"/>
      <c r="BE142" s="386"/>
      <c r="BF142" s="108"/>
      <c r="BG142" s="108"/>
      <c r="BH142" s="108"/>
      <c r="BI142" s="108"/>
      <c r="BJ142" s="106"/>
      <c r="BK142" s="106"/>
      <c r="BL142" s="108"/>
      <c r="BM142" s="106"/>
      <c r="BN142" s="106"/>
      <c r="BO142" s="108"/>
      <c r="BP142" s="108"/>
      <c r="BQ142" s="108"/>
      <c r="BR142" s="106"/>
      <c r="BS142" s="108"/>
      <c r="BT142" s="108"/>
      <c r="BU142" s="108"/>
      <c r="BV142" s="108"/>
      <c r="BW142" s="106"/>
    </row>
    <row r="143" spans="57:75" ht="12" customHeight="1">
      <c r="BE143" s="378"/>
      <c r="BF143" s="106"/>
      <c r="BG143" s="106"/>
      <c r="BH143" s="106"/>
      <c r="BI143" s="106"/>
      <c r="BJ143" s="106"/>
      <c r="BK143" s="106"/>
      <c r="BL143" s="106"/>
      <c r="BM143" s="106"/>
      <c r="BN143" s="106"/>
      <c r="BO143" s="106"/>
      <c r="BP143" s="106"/>
      <c r="BQ143" s="106"/>
      <c r="BR143" s="106"/>
      <c r="BS143" s="106"/>
      <c r="BT143" s="106"/>
      <c r="BU143" s="106"/>
      <c r="BV143" s="106"/>
      <c r="BW143" s="106"/>
    </row>
    <row r="144" spans="1:75" ht="25.5">
      <c r="A144" s="180" t="s">
        <v>388</v>
      </c>
      <c r="B144" s="181" t="s">
        <v>2</v>
      </c>
      <c r="C144" s="181" t="s">
        <v>3</v>
      </c>
      <c r="D144" s="181" t="s">
        <v>4</v>
      </c>
      <c r="E144" s="181" t="s">
        <v>5</v>
      </c>
      <c r="F144" s="181" t="s">
        <v>6</v>
      </c>
      <c r="G144" s="181" t="s">
        <v>12</v>
      </c>
      <c r="H144" s="181" t="s">
        <v>13</v>
      </c>
      <c r="I144" s="181" t="s">
        <v>14</v>
      </c>
      <c r="J144" s="181" t="s">
        <v>15</v>
      </c>
      <c r="K144" s="181" t="s">
        <v>16</v>
      </c>
      <c r="L144" s="181" t="s">
        <v>17</v>
      </c>
      <c r="M144" s="181" t="s">
        <v>18</v>
      </c>
      <c r="N144" s="181" t="s">
        <v>19</v>
      </c>
      <c r="O144" s="181" t="s">
        <v>20</v>
      </c>
      <c r="P144" s="181" t="s">
        <v>21</v>
      </c>
      <c r="Q144" s="181" t="s">
        <v>22</v>
      </c>
      <c r="R144" s="181" t="s">
        <v>23</v>
      </c>
      <c r="S144" s="181" t="s">
        <v>24</v>
      </c>
      <c r="T144" s="181" t="s">
        <v>25</v>
      </c>
      <c r="U144" s="181" t="s">
        <v>26</v>
      </c>
      <c r="V144" s="181" t="s">
        <v>27</v>
      </c>
      <c r="W144" s="181" t="s">
        <v>28</v>
      </c>
      <c r="X144" s="181" t="s">
        <v>29</v>
      </c>
      <c r="Y144" s="181" t="s">
        <v>30</v>
      </c>
      <c r="Z144" s="181" t="s">
        <v>31</v>
      </c>
      <c r="AA144" s="181" t="s">
        <v>32</v>
      </c>
      <c r="AB144" s="181" t="s">
        <v>33</v>
      </c>
      <c r="AC144" s="181" t="s">
        <v>34</v>
      </c>
      <c r="AD144" s="181" t="s">
        <v>271</v>
      </c>
      <c r="AE144" s="181" t="s">
        <v>272</v>
      </c>
      <c r="AF144" s="181" t="s">
        <v>274</v>
      </c>
      <c r="AG144" s="181" t="s">
        <v>276</v>
      </c>
      <c r="AH144" s="181" t="s">
        <v>278</v>
      </c>
      <c r="AI144" s="188" t="s">
        <v>280</v>
      </c>
      <c r="AJ144" s="188" t="s">
        <v>281</v>
      </c>
      <c r="AK144" s="188" t="s">
        <v>289</v>
      </c>
      <c r="AL144" s="188" t="s">
        <v>290</v>
      </c>
      <c r="AM144" s="188" t="s">
        <v>291</v>
      </c>
      <c r="AN144" s="188" t="s">
        <v>292</v>
      </c>
      <c r="AO144" s="188" t="s">
        <v>293</v>
      </c>
      <c r="AP144" s="188" t="s">
        <v>329</v>
      </c>
      <c r="AQ144" s="188" t="s">
        <v>330</v>
      </c>
      <c r="AR144" s="188" t="s">
        <v>331</v>
      </c>
      <c r="AS144" s="317" t="s">
        <v>490</v>
      </c>
      <c r="AT144" s="188" t="s">
        <v>332</v>
      </c>
      <c r="AU144" s="317" t="s">
        <v>477</v>
      </c>
      <c r="AV144" s="188" t="s">
        <v>333</v>
      </c>
      <c r="AW144" s="306" t="s">
        <v>463</v>
      </c>
      <c r="AX144" s="188" t="s">
        <v>448</v>
      </c>
      <c r="AY144" s="188" t="s">
        <v>451</v>
      </c>
      <c r="AZ144" s="188" t="s">
        <v>453</v>
      </c>
      <c r="BA144" s="306"/>
      <c r="BB144" s="317" t="s">
        <v>480</v>
      </c>
      <c r="BC144" s="188" t="s">
        <v>454</v>
      </c>
      <c r="BD144" s="188" t="s">
        <v>457</v>
      </c>
      <c r="BE144" s="387"/>
      <c r="BF144" s="226"/>
      <c r="BG144" s="226"/>
      <c r="BH144" s="226"/>
      <c r="BI144" s="226"/>
      <c r="BJ144" s="226"/>
      <c r="BK144" s="226"/>
      <c r="BL144" s="226"/>
      <c r="BM144" s="226"/>
      <c r="BN144" s="226"/>
      <c r="BO144" s="226"/>
      <c r="BP144" s="226"/>
      <c r="BQ144" s="226"/>
      <c r="BR144" s="226"/>
      <c r="BS144" s="226"/>
      <c r="BT144" s="226"/>
      <c r="BU144" s="226"/>
      <c r="BV144" s="226"/>
      <c r="BW144" s="226"/>
    </row>
    <row r="145" spans="1:75" ht="12.75">
      <c r="A145" s="125"/>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7"/>
      <c r="AJ145" s="127"/>
      <c r="AK145" s="127"/>
      <c r="AL145" s="127"/>
      <c r="AM145" s="127"/>
      <c r="AN145" s="127"/>
      <c r="AO145" s="127"/>
      <c r="AP145" s="127"/>
      <c r="AQ145" s="127"/>
      <c r="AR145" s="127"/>
      <c r="AS145" s="127"/>
      <c r="AT145" s="127"/>
      <c r="AU145" s="303"/>
      <c r="AV145" s="127"/>
      <c r="AW145" s="303"/>
      <c r="AX145" s="127"/>
      <c r="AY145" s="127"/>
      <c r="AZ145" s="127"/>
      <c r="BA145" s="303"/>
      <c r="BB145" s="303"/>
      <c r="BC145" s="127"/>
      <c r="BD145" s="127"/>
      <c r="BE145" s="388"/>
      <c r="BF145" s="329"/>
      <c r="BG145" s="329"/>
      <c r="BH145" s="329"/>
      <c r="BI145" s="329"/>
      <c r="BJ145" s="329"/>
      <c r="BK145" s="329"/>
      <c r="BL145" s="329"/>
      <c r="BM145" s="329"/>
      <c r="BN145" s="329"/>
      <c r="BO145" s="329"/>
      <c r="BP145" s="329"/>
      <c r="BQ145" s="329"/>
      <c r="BR145" s="329"/>
      <c r="BS145" s="329"/>
      <c r="BT145" s="329"/>
      <c r="BU145" s="329"/>
      <c r="BV145" s="329"/>
      <c r="BW145" s="329"/>
    </row>
    <row r="146" spans="1:75" ht="12.75">
      <c r="A146" s="183" t="s">
        <v>192</v>
      </c>
      <c r="B146" s="88">
        <v>26352</v>
      </c>
      <c r="C146" s="88">
        <v>21135</v>
      </c>
      <c r="D146" s="88">
        <v>17969</v>
      </c>
      <c r="E146" s="88">
        <v>21655</v>
      </c>
      <c r="F146" s="204">
        <v>87111</v>
      </c>
      <c r="G146" s="88">
        <v>20715</v>
      </c>
      <c r="H146" s="88">
        <v>16601</v>
      </c>
      <c r="I146" s="88">
        <v>14386</v>
      </c>
      <c r="J146" s="88">
        <v>17429</v>
      </c>
      <c r="K146" s="204">
        <v>69131</v>
      </c>
      <c r="L146" s="88">
        <v>23816</v>
      </c>
      <c r="M146" s="88">
        <v>15771</v>
      </c>
      <c r="N146" s="88">
        <v>13131</v>
      </c>
      <c r="O146" s="88">
        <v>11824</v>
      </c>
      <c r="P146" s="204">
        <v>64542</v>
      </c>
      <c r="Q146" s="88">
        <v>17554</v>
      </c>
      <c r="R146" s="88">
        <v>18692</v>
      </c>
      <c r="S146" s="88">
        <v>24717</v>
      </c>
      <c r="T146" s="88">
        <v>15785</v>
      </c>
      <c r="U146" s="204">
        <v>76748</v>
      </c>
      <c r="V146" s="88">
        <v>23436</v>
      </c>
      <c r="W146" s="88">
        <v>30589</v>
      </c>
      <c r="X146" s="88">
        <v>38262</v>
      </c>
      <c r="Y146" s="88">
        <v>44737</v>
      </c>
      <c r="Z146" s="204">
        <v>137024</v>
      </c>
      <c r="AA146" s="88">
        <f>AE146-AD146-AC146-AB146</f>
        <v>45585</v>
      </c>
      <c r="AB146" s="88">
        <v>41681</v>
      </c>
      <c r="AC146" s="88">
        <v>42583</v>
      </c>
      <c r="AD146" s="88">
        <v>26705</v>
      </c>
      <c r="AE146" s="204">
        <v>156554</v>
      </c>
      <c r="AF146" s="88">
        <v>26865</v>
      </c>
      <c r="AG146" s="88">
        <v>30151</v>
      </c>
      <c r="AH146" s="88">
        <v>34143</v>
      </c>
      <c r="AI146" s="88">
        <v>28109</v>
      </c>
      <c r="AJ146" s="204">
        <v>119268</v>
      </c>
      <c r="AK146" s="88">
        <v>96375</v>
      </c>
      <c r="AL146" s="88">
        <v>37160</v>
      </c>
      <c r="AM146" s="88">
        <v>43415</v>
      </c>
      <c r="AN146" s="88">
        <v>50960</v>
      </c>
      <c r="AO146" s="204">
        <v>227910</v>
      </c>
      <c r="AP146" s="88">
        <v>56337</v>
      </c>
      <c r="AQ146" s="88">
        <v>28095</v>
      </c>
      <c r="AR146" s="88">
        <v>27889</v>
      </c>
      <c r="AS146" s="88">
        <v>112428</v>
      </c>
      <c r="AT146" s="88">
        <v>31503</v>
      </c>
      <c r="AU146" s="100">
        <v>31453</v>
      </c>
      <c r="AV146" s="204">
        <v>143824</v>
      </c>
      <c r="AW146" s="309">
        <v>143881</v>
      </c>
      <c r="AX146" s="88">
        <v>34784</v>
      </c>
      <c r="AY146" s="88">
        <v>3925</v>
      </c>
      <c r="AZ146" s="88">
        <v>46529</v>
      </c>
      <c r="BA146" s="100"/>
      <c r="BB146" s="100">
        <v>85238</v>
      </c>
      <c r="BC146" s="88">
        <v>46321</v>
      </c>
      <c r="BD146" s="204">
        <v>131559</v>
      </c>
      <c r="BE146" s="378"/>
      <c r="BF146" s="106"/>
      <c r="BG146" s="106"/>
      <c r="BH146" s="106"/>
      <c r="BI146" s="106"/>
      <c r="BJ146" s="106"/>
      <c r="BK146" s="106"/>
      <c r="BL146" s="106"/>
      <c r="BM146" s="106"/>
      <c r="BN146" s="106"/>
      <c r="BO146" s="106"/>
      <c r="BP146" s="106"/>
      <c r="BQ146" s="106"/>
      <c r="BR146" s="106"/>
      <c r="BS146" s="106"/>
      <c r="BT146" s="106"/>
      <c r="BU146" s="106"/>
      <c r="BV146" s="106"/>
      <c r="BW146" s="106"/>
    </row>
    <row r="147" spans="1:75" ht="12.75">
      <c r="A147" s="183" t="s">
        <v>193</v>
      </c>
      <c r="B147" s="88">
        <v>22218</v>
      </c>
      <c r="C147" s="88">
        <v>25826</v>
      </c>
      <c r="D147" s="88">
        <v>24587</v>
      </c>
      <c r="E147" s="88">
        <v>23952</v>
      </c>
      <c r="F147" s="204">
        <v>96583</v>
      </c>
      <c r="G147" s="88">
        <v>9997</v>
      </c>
      <c r="H147" s="88">
        <v>27801</v>
      </c>
      <c r="I147" s="88">
        <v>18345</v>
      </c>
      <c r="J147" s="88">
        <v>8391</v>
      </c>
      <c r="K147" s="204">
        <v>64534</v>
      </c>
      <c r="L147" s="88">
        <v>19919</v>
      </c>
      <c r="M147" s="88">
        <v>23269</v>
      </c>
      <c r="N147" s="88">
        <v>32782</v>
      </c>
      <c r="O147" s="88">
        <v>32694</v>
      </c>
      <c r="P147" s="204">
        <v>108664</v>
      </c>
      <c r="Q147" s="88">
        <v>35395</v>
      </c>
      <c r="R147" s="88">
        <v>45334</v>
      </c>
      <c r="S147" s="88">
        <v>70847</v>
      </c>
      <c r="T147" s="88">
        <v>63499</v>
      </c>
      <c r="U147" s="204">
        <v>215075</v>
      </c>
      <c r="V147" s="88">
        <v>50578</v>
      </c>
      <c r="W147" s="88">
        <v>64669</v>
      </c>
      <c r="X147" s="88">
        <v>64432</v>
      </c>
      <c r="Y147" s="88">
        <v>58715</v>
      </c>
      <c r="Z147" s="204">
        <v>238394</v>
      </c>
      <c r="AA147" s="88">
        <f aca="true" t="shared" si="7" ref="AA147:AA152">AE147-AD147-AC147-AB147</f>
        <v>40330</v>
      </c>
      <c r="AB147" s="88">
        <v>84487</v>
      </c>
      <c r="AC147" s="88">
        <v>74565</v>
      </c>
      <c r="AD147" s="88">
        <v>31842</v>
      </c>
      <c r="AE147" s="204">
        <v>231224</v>
      </c>
      <c r="AF147" s="88">
        <v>43911</v>
      </c>
      <c r="AG147" s="88">
        <v>74577</v>
      </c>
      <c r="AH147" s="88">
        <v>63004</v>
      </c>
      <c r="AI147" s="88">
        <v>53652</v>
      </c>
      <c r="AJ147" s="204">
        <v>235144</v>
      </c>
      <c r="AK147" s="88">
        <v>57846</v>
      </c>
      <c r="AL147" s="88">
        <v>86259</v>
      </c>
      <c r="AM147" s="88">
        <v>22885</v>
      </c>
      <c r="AN147" s="88">
        <v>-20007</v>
      </c>
      <c r="AO147" s="204">
        <v>146983</v>
      </c>
      <c r="AP147" s="88">
        <v>24551</v>
      </c>
      <c r="AQ147" s="88">
        <v>63198</v>
      </c>
      <c r="AR147" s="88">
        <v>25113</v>
      </c>
      <c r="AS147" s="88">
        <v>113076</v>
      </c>
      <c r="AT147" s="88">
        <v>18710</v>
      </c>
      <c r="AU147" s="100">
        <v>17873</v>
      </c>
      <c r="AV147" s="204">
        <v>131572</v>
      </c>
      <c r="AW147" s="309">
        <v>130949</v>
      </c>
      <c r="AX147" s="88">
        <v>29480</v>
      </c>
      <c r="AY147" s="88">
        <v>42312</v>
      </c>
      <c r="AZ147" s="88">
        <v>49304</v>
      </c>
      <c r="BA147" s="100"/>
      <c r="BB147" s="100">
        <v>121096</v>
      </c>
      <c r="BC147" s="88">
        <v>30539</v>
      </c>
      <c r="BD147" s="204">
        <v>151635</v>
      </c>
      <c r="BE147" s="378"/>
      <c r="BF147" s="106"/>
      <c r="BG147" s="106"/>
      <c r="BH147" s="106"/>
      <c r="BI147" s="106"/>
      <c r="BJ147" s="106"/>
      <c r="BK147" s="106"/>
      <c r="BL147" s="106"/>
      <c r="BM147" s="106"/>
      <c r="BN147" s="106"/>
      <c r="BO147" s="106"/>
      <c r="BP147" s="106"/>
      <c r="BQ147" s="106"/>
      <c r="BR147" s="106"/>
      <c r="BS147" s="106"/>
      <c r="BT147" s="106"/>
      <c r="BU147" s="106"/>
      <c r="BV147" s="106"/>
      <c r="BW147" s="106"/>
    </row>
    <row r="148" spans="1:75" ht="12.75">
      <c r="A148" s="183" t="s">
        <v>433</v>
      </c>
      <c r="B148" s="88">
        <v>-38697</v>
      </c>
      <c r="C148" s="88">
        <v>-36363</v>
      </c>
      <c r="D148" s="88">
        <v>-21810</v>
      </c>
      <c r="E148" s="88">
        <v>-12207</v>
      </c>
      <c r="F148" s="204">
        <v>-109077</v>
      </c>
      <c r="G148" s="88">
        <v>-3994</v>
      </c>
      <c r="H148" s="88">
        <v>5580</v>
      </c>
      <c r="I148" s="88">
        <v>7438</v>
      </c>
      <c r="J148" s="88">
        <v>2441</v>
      </c>
      <c r="K148" s="204">
        <v>11465</v>
      </c>
      <c r="L148" s="88">
        <v>667</v>
      </c>
      <c r="M148" s="88">
        <v>-6970</v>
      </c>
      <c r="N148" s="88">
        <v>18225</v>
      </c>
      <c r="O148" s="88">
        <v>6532</v>
      </c>
      <c r="P148" s="204">
        <v>18454</v>
      </c>
      <c r="Q148" s="88">
        <v>23224</v>
      </c>
      <c r="R148" s="88">
        <v>13677</v>
      </c>
      <c r="S148" s="88">
        <v>14247</v>
      </c>
      <c r="T148" s="88">
        <v>20287</v>
      </c>
      <c r="U148" s="204">
        <v>71435</v>
      </c>
      <c r="V148" s="88">
        <v>32004</v>
      </c>
      <c r="W148" s="88">
        <v>13558</v>
      </c>
      <c r="X148" s="88">
        <v>11482</v>
      </c>
      <c r="Y148" s="88">
        <v>216</v>
      </c>
      <c r="Z148" s="204">
        <v>57260</v>
      </c>
      <c r="AA148" s="88">
        <f t="shared" si="7"/>
        <v>88141</v>
      </c>
      <c r="AB148" s="88">
        <v>11023</v>
      </c>
      <c r="AC148" s="88">
        <v>7101</v>
      </c>
      <c r="AD148" s="88">
        <v>10102</v>
      </c>
      <c r="AE148" s="204">
        <v>116367</v>
      </c>
      <c r="AF148" s="88">
        <v>14467</v>
      </c>
      <c r="AG148" s="88">
        <v>10069</v>
      </c>
      <c r="AH148" s="88">
        <v>10208</v>
      </c>
      <c r="AI148" s="88">
        <v>11441</v>
      </c>
      <c r="AJ148" s="204">
        <v>46185</v>
      </c>
      <c r="AK148" s="88">
        <v>13370</v>
      </c>
      <c r="AL148" s="88">
        <v>10799</v>
      </c>
      <c r="AM148" s="88">
        <v>10432</v>
      </c>
      <c r="AN148" s="88">
        <v>13760</v>
      </c>
      <c r="AO148" s="204">
        <v>48361</v>
      </c>
      <c r="AP148" s="88">
        <v>20715</v>
      </c>
      <c r="AQ148" s="88">
        <v>14182</v>
      </c>
      <c r="AR148" s="88">
        <v>19395</v>
      </c>
      <c r="AS148" s="88">
        <v>55627</v>
      </c>
      <c r="AT148" s="88">
        <v>21145</v>
      </c>
      <c r="AU148" s="100">
        <v>21966</v>
      </c>
      <c r="AV148" s="204">
        <v>75437</v>
      </c>
      <c r="AW148" s="309">
        <v>77593</v>
      </c>
      <c r="AX148" s="88">
        <v>30223</v>
      </c>
      <c r="AY148" s="88">
        <v>26077</v>
      </c>
      <c r="AZ148" s="88">
        <v>10405</v>
      </c>
      <c r="BA148" s="100"/>
      <c r="BB148" s="100">
        <v>66705</v>
      </c>
      <c r="BC148" s="88">
        <v>20399</v>
      </c>
      <c r="BD148" s="204">
        <v>87104</v>
      </c>
      <c r="BE148" s="378"/>
      <c r="BF148" s="106"/>
      <c r="BG148" s="106"/>
      <c r="BH148" s="106"/>
      <c r="BI148" s="106"/>
      <c r="BJ148" s="106"/>
      <c r="BK148" s="106"/>
      <c r="BL148" s="106"/>
      <c r="BM148" s="106"/>
      <c r="BN148" s="106"/>
      <c r="BO148" s="106"/>
      <c r="BP148" s="106"/>
      <c r="BQ148" s="106"/>
      <c r="BR148" s="106"/>
      <c r="BS148" s="106"/>
      <c r="BT148" s="106"/>
      <c r="BU148" s="106"/>
      <c r="BV148" s="106"/>
      <c r="BW148" s="106"/>
    </row>
    <row r="149" spans="1:75" ht="12.75">
      <c r="A149" s="183" t="s">
        <v>62</v>
      </c>
      <c r="B149" s="88">
        <v>6288</v>
      </c>
      <c r="C149" s="88">
        <v>353</v>
      </c>
      <c r="D149" s="88">
        <v>4339</v>
      </c>
      <c r="E149" s="88">
        <v>4550</v>
      </c>
      <c r="F149" s="204">
        <v>15530</v>
      </c>
      <c r="G149" s="88">
        <v>2544</v>
      </c>
      <c r="H149" s="88">
        <v>4905</v>
      </c>
      <c r="I149" s="88">
        <v>5628</v>
      </c>
      <c r="J149" s="88">
        <v>-930</v>
      </c>
      <c r="K149" s="204">
        <v>12147</v>
      </c>
      <c r="L149" s="88">
        <v>3445</v>
      </c>
      <c r="M149" s="88">
        <v>6363</v>
      </c>
      <c r="N149" s="88">
        <v>-1523</v>
      </c>
      <c r="O149" s="88">
        <v>6217</v>
      </c>
      <c r="P149" s="204">
        <v>14502</v>
      </c>
      <c r="Q149" s="88">
        <v>6556</v>
      </c>
      <c r="R149" s="88">
        <v>6325</v>
      </c>
      <c r="S149" s="88">
        <v>6878</v>
      </c>
      <c r="T149" s="88">
        <v>11334</v>
      </c>
      <c r="U149" s="204">
        <v>31093</v>
      </c>
      <c r="V149" s="88">
        <v>12991</v>
      </c>
      <c r="W149" s="88">
        <v>7422</v>
      </c>
      <c r="X149" s="88">
        <v>4117</v>
      </c>
      <c r="Y149" s="88">
        <v>8601</v>
      </c>
      <c r="Z149" s="204">
        <v>33131</v>
      </c>
      <c r="AA149" s="88">
        <f t="shared" si="7"/>
        <v>8061</v>
      </c>
      <c r="AB149" s="88">
        <v>8446</v>
      </c>
      <c r="AC149" s="88">
        <v>10068</v>
      </c>
      <c r="AD149" s="88">
        <v>15197</v>
      </c>
      <c r="AE149" s="204">
        <v>41772</v>
      </c>
      <c r="AF149" s="88">
        <v>17225</v>
      </c>
      <c r="AG149" s="88">
        <v>17090</v>
      </c>
      <c r="AH149" s="88">
        <v>16695</v>
      </c>
      <c r="AI149" s="88">
        <v>9284</v>
      </c>
      <c r="AJ149" s="204">
        <v>60294</v>
      </c>
      <c r="AK149" s="88">
        <v>7414</v>
      </c>
      <c r="AL149" s="88">
        <v>-8214</v>
      </c>
      <c r="AM149" s="88">
        <v>4347</v>
      </c>
      <c r="AN149" s="88">
        <v>8585</v>
      </c>
      <c r="AO149" s="204">
        <v>12132</v>
      </c>
      <c r="AP149" s="88">
        <v>1016</v>
      </c>
      <c r="AQ149" s="88">
        <v>-4638</v>
      </c>
      <c r="AR149" s="88">
        <v>6117</v>
      </c>
      <c r="AS149" s="88">
        <v>2506</v>
      </c>
      <c r="AT149" s="88">
        <v>547</v>
      </c>
      <c r="AU149" s="100">
        <v>583</v>
      </c>
      <c r="AV149" s="204">
        <v>3042</v>
      </c>
      <c r="AW149" s="309">
        <v>3089</v>
      </c>
      <c r="AX149" s="88">
        <v>2079</v>
      </c>
      <c r="AY149" s="88">
        <v>5997</v>
      </c>
      <c r="AZ149" s="88">
        <v>10614</v>
      </c>
      <c r="BA149" s="100"/>
      <c r="BB149" s="100">
        <v>18690</v>
      </c>
      <c r="BC149" s="88">
        <v>397</v>
      </c>
      <c r="BD149" s="204">
        <v>19087</v>
      </c>
      <c r="BE149" s="378"/>
      <c r="BF149" s="106"/>
      <c r="BG149" s="106"/>
      <c r="BH149" s="106"/>
      <c r="BI149" s="106"/>
      <c r="BJ149" s="106"/>
      <c r="BK149" s="106"/>
      <c r="BL149" s="106"/>
      <c r="BM149" s="106"/>
      <c r="BN149" s="106"/>
      <c r="BO149" s="106"/>
      <c r="BP149" s="106"/>
      <c r="BQ149" s="106"/>
      <c r="BR149" s="106"/>
      <c r="BS149" s="106"/>
      <c r="BT149" s="106"/>
      <c r="BU149" s="106"/>
      <c r="BV149" s="106"/>
      <c r="BW149" s="106"/>
    </row>
    <row r="150" spans="1:75" ht="12.75">
      <c r="A150" s="183" t="s">
        <v>195</v>
      </c>
      <c r="B150" s="88">
        <v>-1483</v>
      </c>
      <c r="C150" s="88">
        <v>-4294</v>
      </c>
      <c r="D150" s="88">
        <v>-6238</v>
      </c>
      <c r="E150" s="88">
        <v>-7548</v>
      </c>
      <c r="F150" s="204">
        <v>-19563</v>
      </c>
      <c r="G150" s="88">
        <v>-4296</v>
      </c>
      <c r="H150" s="88">
        <v>-5619</v>
      </c>
      <c r="I150" s="88">
        <v>-7077</v>
      </c>
      <c r="J150" s="88">
        <v>-11818</v>
      </c>
      <c r="K150" s="204">
        <v>-28810</v>
      </c>
      <c r="L150" s="88">
        <v>-2873</v>
      </c>
      <c r="M150" s="88">
        <v>-9838</v>
      </c>
      <c r="N150" s="88">
        <v>-6829</v>
      </c>
      <c r="O150" s="88">
        <v>-6595</v>
      </c>
      <c r="P150" s="204">
        <v>-26135</v>
      </c>
      <c r="Q150" s="88">
        <v>-3283</v>
      </c>
      <c r="R150" s="88">
        <v>-8019</v>
      </c>
      <c r="S150" s="88">
        <v>-5650</v>
      </c>
      <c r="T150" s="88">
        <v>-24106</v>
      </c>
      <c r="U150" s="204">
        <v>-41058</v>
      </c>
      <c r="V150" s="88">
        <v>-9986</v>
      </c>
      <c r="W150" s="88">
        <v>-5059</v>
      </c>
      <c r="X150" s="88">
        <v>-10971</v>
      </c>
      <c r="Y150" s="88">
        <v>-6191</v>
      </c>
      <c r="Z150" s="204">
        <v>-32207</v>
      </c>
      <c r="AA150" s="88">
        <f t="shared" si="7"/>
        <v>-9441</v>
      </c>
      <c r="AB150" s="88">
        <v>-11805</v>
      </c>
      <c r="AC150" s="88">
        <v>-7415</v>
      </c>
      <c r="AD150" s="88">
        <v>-7146</v>
      </c>
      <c r="AE150" s="204">
        <v>-35807</v>
      </c>
      <c r="AF150" s="88">
        <v>8131</v>
      </c>
      <c r="AG150" s="88">
        <v>-6414</v>
      </c>
      <c r="AH150" s="88">
        <v>11307</v>
      </c>
      <c r="AI150" s="88">
        <v>23503</v>
      </c>
      <c r="AJ150" s="204">
        <v>36527</v>
      </c>
      <c r="AK150" s="88">
        <v>-6592</v>
      </c>
      <c r="AL150" s="88">
        <v>-2588</v>
      </c>
      <c r="AM150" s="88">
        <v>-11698</v>
      </c>
      <c r="AN150" s="88">
        <v>-6394</v>
      </c>
      <c r="AO150" s="204">
        <v>-27272</v>
      </c>
      <c r="AP150" s="88">
        <v>11338</v>
      </c>
      <c r="AQ150" s="88">
        <v>-3135</v>
      </c>
      <c r="AR150" s="88">
        <v>-5469</v>
      </c>
      <c r="AS150" s="88">
        <v>2801</v>
      </c>
      <c r="AT150" s="88">
        <v>-8815</v>
      </c>
      <c r="AU150" s="100">
        <v>-3657</v>
      </c>
      <c r="AV150" s="204">
        <v>-6081</v>
      </c>
      <c r="AW150" s="309">
        <v>-856</v>
      </c>
      <c r="AX150" s="88">
        <v>-2008</v>
      </c>
      <c r="AY150" s="88">
        <v>4678</v>
      </c>
      <c r="AZ150" s="88">
        <v>-12331</v>
      </c>
      <c r="BA150" s="100"/>
      <c r="BB150" s="100">
        <v>-9661</v>
      </c>
      <c r="BC150" s="88">
        <v>-3710</v>
      </c>
      <c r="BD150" s="204">
        <v>-13371</v>
      </c>
      <c r="BE150" s="378"/>
      <c r="BF150" s="106"/>
      <c r="BG150" s="106"/>
      <c r="BH150" s="106"/>
      <c r="BI150" s="106"/>
      <c r="BJ150" s="106"/>
      <c r="BK150" s="106"/>
      <c r="BL150" s="106"/>
      <c r="BM150" s="106"/>
      <c r="BN150" s="106"/>
      <c r="BO150" s="106"/>
      <c r="BP150" s="106"/>
      <c r="BQ150" s="106"/>
      <c r="BR150" s="106"/>
      <c r="BS150" s="106"/>
      <c r="BT150" s="106"/>
      <c r="BU150" s="106"/>
      <c r="BV150" s="106"/>
      <c r="BW150" s="106"/>
    </row>
    <row r="151" spans="1:75" ht="14.25">
      <c r="A151" s="183" t="s">
        <v>319</v>
      </c>
      <c r="B151" s="88">
        <v>5956</v>
      </c>
      <c r="C151" s="88">
        <v>-4048</v>
      </c>
      <c r="D151" s="88">
        <v>-7774</v>
      </c>
      <c r="E151" s="88">
        <v>7431</v>
      </c>
      <c r="F151" s="204">
        <v>1565</v>
      </c>
      <c r="G151" s="88">
        <v>3546</v>
      </c>
      <c r="H151" s="88">
        <v>-3544</v>
      </c>
      <c r="I151" s="88">
        <v>-5374</v>
      </c>
      <c r="J151" s="88">
        <v>5682</v>
      </c>
      <c r="K151" s="204">
        <v>310</v>
      </c>
      <c r="L151" s="88">
        <v>3350</v>
      </c>
      <c r="M151" s="88">
        <v>-5386</v>
      </c>
      <c r="N151" s="88">
        <v>-3021</v>
      </c>
      <c r="O151" s="88">
        <v>3551</v>
      </c>
      <c r="P151" s="204">
        <v>-1506</v>
      </c>
      <c r="Q151" s="88">
        <v>7164</v>
      </c>
      <c r="R151" s="88">
        <v>-3342</v>
      </c>
      <c r="S151" s="88">
        <v>-4658</v>
      </c>
      <c r="T151" s="88">
        <v>4873</v>
      </c>
      <c r="U151" s="204">
        <v>4037</v>
      </c>
      <c r="V151" s="88">
        <v>10284</v>
      </c>
      <c r="W151" s="88">
        <v>-4558</v>
      </c>
      <c r="X151" s="88">
        <v>-10960</v>
      </c>
      <c r="Y151" s="88">
        <v>-432</v>
      </c>
      <c r="Z151" s="204">
        <v>-5666</v>
      </c>
      <c r="AA151" s="88">
        <f t="shared" si="7"/>
        <v>14344</v>
      </c>
      <c r="AB151" s="88">
        <v>1096</v>
      </c>
      <c r="AC151" s="88">
        <v>221</v>
      </c>
      <c r="AD151" s="88">
        <v>1869</v>
      </c>
      <c r="AE151" s="204">
        <v>17530</v>
      </c>
      <c r="AF151" s="88">
        <v>-1421</v>
      </c>
      <c r="AG151" s="88">
        <v>-1899</v>
      </c>
      <c r="AH151" s="88">
        <v>-576</v>
      </c>
      <c r="AI151" s="88">
        <v>2521</v>
      </c>
      <c r="AJ151" s="204">
        <v>-1375</v>
      </c>
      <c r="AK151" s="88">
        <v>-66789</v>
      </c>
      <c r="AL151" s="88">
        <v>-171</v>
      </c>
      <c r="AM151" s="88">
        <v>5774</v>
      </c>
      <c r="AN151" s="88">
        <v>4412</v>
      </c>
      <c r="AO151" s="204">
        <v>-56774</v>
      </c>
      <c r="AP151" s="88">
        <v>-6325</v>
      </c>
      <c r="AQ151" s="88">
        <v>9352</v>
      </c>
      <c r="AR151" s="88">
        <v>2793</v>
      </c>
      <c r="AS151" s="88">
        <v>4086</v>
      </c>
      <c r="AT151" s="88">
        <v>-382</v>
      </c>
      <c r="AU151" s="100">
        <v>-1703</v>
      </c>
      <c r="AV151" s="205">
        <v>5438</v>
      </c>
      <c r="AW151" s="310">
        <v>2383</v>
      </c>
      <c r="AX151" s="88">
        <v>-1737</v>
      </c>
      <c r="AY151" s="88">
        <v>-461</v>
      </c>
      <c r="AZ151" s="88">
        <v>1639</v>
      </c>
      <c r="BA151" s="100"/>
      <c r="BB151" s="100">
        <v>-559</v>
      </c>
      <c r="BC151" s="88">
        <v>-2529</v>
      </c>
      <c r="BD151" s="205">
        <v>-3088</v>
      </c>
      <c r="BE151" s="378"/>
      <c r="BF151" s="106"/>
      <c r="BG151" s="106"/>
      <c r="BH151" s="106"/>
      <c r="BI151" s="106"/>
      <c r="BJ151" s="108"/>
      <c r="BK151" s="108"/>
      <c r="BL151" s="106"/>
      <c r="BM151" s="108"/>
      <c r="BN151" s="108"/>
      <c r="BO151" s="106"/>
      <c r="BP151" s="106"/>
      <c r="BQ151" s="106"/>
      <c r="BR151" s="108"/>
      <c r="BS151" s="106"/>
      <c r="BT151" s="106"/>
      <c r="BU151" s="106"/>
      <c r="BV151" s="106"/>
      <c r="BW151" s="108"/>
    </row>
    <row r="152" spans="1:75" ht="12.75">
      <c r="A152" s="185" t="s">
        <v>205</v>
      </c>
      <c r="B152" s="96">
        <v>20634</v>
      </c>
      <c r="C152" s="96">
        <v>2609</v>
      </c>
      <c r="D152" s="96">
        <v>11073</v>
      </c>
      <c r="E152" s="96">
        <v>37833</v>
      </c>
      <c r="F152" s="205">
        <v>72149</v>
      </c>
      <c r="G152" s="96">
        <v>28512</v>
      </c>
      <c r="H152" s="96">
        <v>45724</v>
      </c>
      <c r="I152" s="96">
        <v>33346</v>
      </c>
      <c r="J152" s="96">
        <v>21195</v>
      </c>
      <c r="K152" s="205">
        <v>128777</v>
      </c>
      <c r="L152" s="96">
        <v>48324</v>
      </c>
      <c r="M152" s="96">
        <v>23209</v>
      </c>
      <c r="N152" s="96">
        <v>52765</v>
      </c>
      <c r="O152" s="96">
        <v>54223</v>
      </c>
      <c r="P152" s="205">
        <v>178521</v>
      </c>
      <c r="Q152" s="96">
        <v>86610</v>
      </c>
      <c r="R152" s="96">
        <v>72667</v>
      </c>
      <c r="S152" s="96">
        <v>106381</v>
      </c>
      <c r="T152" s="96">
        <v>91672</v>
      </c>
      <c r="U152" s="205">
        <v>357330</v>
      </c>
      <c r="V152" s="96">
        <v>119307</v>
      </c>
      <c r="W152" s="96">
        <v>106621</v>
      </c>
      <c r="X152" s="96">
        <v>96362</v>
      </c>
      <c r="Y152" s="96">
        <v>105646</v>
      </c>
      <c r="Z152" s="205">
        <v>427936</v>
      </c>
      <c r="AA152" s="96">
        <f t="shared" si="7"/>
        <v>187020</v>
      </c>
      <c r="AB152" s="96">
        <v>134928</v>
      </c>
      <c r="AC152" s="96">
        <v>127123</v>
      </c>
      <c r="AD152" s="96">
        <v>78569</v>
      </c>
      <c r="AE152" s="205">
        <v>527640</v>
      </c>
      <c r="AF152" s="96">
        <v>109178</v>
      </c>
      <c r="AG152" s="96">
        <v>123574</v>
      </c>
      <c r="AH152" s="96">
        <v>134781</v>
      </c>
      <c r="AI152" s="96">
        <v>128510</v>
      </c>
      <c r="AJ152" s="205">
        <v>496043</v>
      </c>
      <c r="AK152" s="96">
        <v>101624</v>
      </c>
      <c r="AL152" s="96">
        <f>SUM(AL146:AL151)</f>
        <v>123245</v>
      </c>
      <c r="AM152" s="96">
        <v>75155</v>
      </c>
      <c r="AN152" s="96">
        <v>51316</v>
      </c>
      <c r="AO152" s="205">
        <v>351340</v>
      </c>
      <c r="AP152" s="96">
        <v>107632</v>
      </c>
      <c r="AQ152" s="96">
        <v>124026</v>
      </c>
      <c r="AR152" s="96">
        <v>75838</v>
      </c>
      <c r="AS152" s="96">
        <v>290524</v>
      </c>
      <c r="AT152" s="96">
        <v>62708</v>
      </c>
      <c r="AU152" s="294">
        <v>66515</v>
      </c>
      <c r="AV152" s="205">
        <v>353232</v>
      </c>
      <c r="AW152" s="310">
        <v>357039</v>
      </c>
      <c r="AX152" s="96">
        <v>92821</v>
      </c>
      <c r="AY152" s="96">
        <v>82528</v>
      </c>
      <c r="AZ152" s="96">
        <v>106160</v>
      </c>
      <c r="BA152" s="294"/>
      <c r="BB152" s="294">
        <v>281509</v>
      </c>
      <c r="BC152" s="96">
        <v>91417</v>
      </c>
      <c r="BD152" s="205">
        <v>372926</v>
      </c>
      <c r="BE152" s="386"/>
      <c r="BF152" s="108"/>
      <c r="BG152" s="108"/>
      <c r="BH152" s="108"/>
      <c r="BI152" s="108"/>
      <c r="BJ152" s="108"/>
      <c r="BK152" s="108"/>
      <c r="BL152" s="108"/>
      <c r="BM152" s="108"/>
      <c r="BN152" s="108"/>
      <c r="BO152" s="108"/>
      <c r="BP152" s="108"/>
      <c r="BQ152" s="108"/>
      <c r="BR152" s="108"/>
      <c r="BS152" s="108"/>
      <c r="BT152" s="108"/>
      <c r="BU152" s="108"/>
      <c r="BV152" s="108"/>
      <c r="BW152" s="108"/>
    </row>
    <row r="153" spans="1:75" ht="12.75">
      <c r="A153" s="125"/>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BE153" s="378"/>
      <c r="BF153" s="106"/>
      <c r="BG153" s="106"/>
      <c r="BH153" s="106"/>
      <c r="BI153" s="106"/>
      <c r="BJ153" s="106"/>
      <c r="BK153" s="106"/>
      <c r="BL153" s="106"/>
      <c r="BM153" s="106"/>
      <c r="BN153" s="106"/>
      <c r="BO153" s="106"/>
      <c r="BP153" s="106"/>
      <c r="BQ153" s="106"/>
      <c r="BR153" s="106"/>
      <c r="BS153" s="106"/>
      <c r="BT153" s="106"/>
      <c r="BU153" s="106"/>
      <c r="BV153" s="106"/>
      <c r="BW153" s="106"/>
    </row>
    <row r="154" spans="57:75" ht="12.75">
      <c r="BE154" s="378"/>
      <c r="BF154" s="106"/>
      <c r="BG154" s="106"/>
      <c r="BH154" s="106"/>
      <c r="BI154" s="106"/>
      <c r="BJ154" s="106"/>
      <c r="BK154" s="106"/>
      <c r="BL154" s="106"/>
      <c r="BM154" s="106"/>
      <c r="BN154" s="106"/>
      <c r="BO154" s="106"/>
      <c r="BP154" s="106"/>
      <c r="BQ154" s="106"/>
      <c r="BR154" s="106"/>
      <c r="BS154" s="106"/>
      <c r="BT154" s="106"/>
      <c r="BU154" s="106"/>
      <c r="BV154" s="106"/>
      <c r="BW154" s="106"/>
    </row>
    <row r="155" spans="1:75" ht="25.5">
      <c r="A155" s="180" t="s">
        <v>389</v>
      </c>
      <c r="B155" s="186">
        <v>36981</v>
      </c>
      <c r="C155" s="186">
        <v>37072</v>
      </c>
      <c r="D155" s="186">
        <v>37164</v>
      </c>
      <c r="E155" s="186">
        <v>37256</v>
      </c>
      <c r="F155" s="186"/>
      <c r="G155" s="186">
        <v>37346</v>
      </c>
      <c r="H155" s="186">
        <v>37437</v>
      </c>
      <c r="I155" s="186">
        <v>37529</v>
      </c>
      <c r="J155" s="186">
        <v>37621</v>
      </c>
      <c r="K155" s="186"/>
      <c r="L155" s="186">
        <v>37711</v>
      </c>
      <c r="M155" s="186">
        <v>37802</v>
      </c>
      <c r="N155" s="186">
        <v>37894</v>
      </c>
      <c r="O155" s="186">
        <v>37986</v>
      </c>
      <c r="P155" s="186"/>
      <c r="Q155" s="186">
        <v>38077</v>
      </c>
      <c r="R155" s="186">
        <v>38168</v>
      </c>
      <c r="S155" s="186">
        <v>38260</v>
      </c>
      <c r="T155" s="186">
        <v>38352</v>
      </c>
      <c r="U155" s="186"/>
      <c r="V155" s="186">
        <v>38442</v>
      </c>
      <c r="W155" s="186">
        <v>38533</v>
      </c>
      <c r="X155" s="186">
        <v>38625</v>
      </c>
      <c r="Y155" s="186">
        <v>38717</v>
      </c>
      <c r="Z155" s="186"/>
      <c r="AA155" s="186">
        <v>38807</v>
      </c>
      <c r="AB155" s="186">
        <v>38898</v>
      </c>
      <c r="AC155" s="186">
        <v>38990</v>
      </c>
      <c r="AD155" s="186">
        <v>39082</v>
      </c>
      <c r="AE155" s="186"/>
      <c r="AF155" s="186">
        <v>39172</v>
      </c>
      <c r="AG155" s="186">
        <v>39263</v>
      </c>
      <c r="AH155" s="186">
        <v>39355</v>
      </c>
      <c r="AI155" s="187">
        <v>39447</v>
      </c>
      <c r="AJ155" s="187"/>
      <c r="AK155" s="187">
        <v>39538</v>
      </c>
      <c r="AL155" s="187">
        <v>39629</v>
      </c>
      <c r="AM155" s="187">
        <v>39721</v>
      </c>
      <c r="AN155" s="187">
        <v>39813</v>
      </c>
      <c r="AO155" s="188"/>
      <c r="AP155" s="187">
        <v>39903</v>
      </c>
      <c r="AQ155" s="187">
        <v>39994</v>
      </c>
      <c r="AR155" s="187">
        <v>40086</v>
      </c>
      <c r="AS155" s="317"/>
      <c r="AT155" s="187">
        <v>40178</v>
      </c>
      <c r="AU155" s="317"/>
      <c r="AV155" s="188"/>
      <c r="AW155" s="306" t="s">
        <v>468</v>
      </c>
      <c r="AX155" s="187">
        <v>40268</v>
      </c>
      <c r="AY155" s="187">
        <v>40359</v>
      </c>
      <c r="AZ155" s="187">
        <v>40451</v>
      </c>
      <c r="BA155" s="307"/>
      <c r="BB155" s="317"/>
      <c r="BC155" s="187">
        <v>40543</v>
      </c>
      <c r="BD155" s="188"/>
      <c r="BE155" s="389"/>
      <c r="BF155" s="332"/>
      <c r="BG155" s="332"/>
      <c r="BH155" s="332"/>
      <c r="BI155" s="332"/>
      <c r="BJ155" s="226"/>
      <c r="BK155" s="226"/>
      <c r="BL155" s="332"/>
      <c r="BM155" s="226"/>
      <c r="BN155" s="226"/>
      <c r="BO155" s="332"/>
      <c r="BP155" s="332"/>
      <c r="BQ155" s="332"/>
      <c r="BR155" s="226"/>
      <c r="BS155" s="332"/>
      <c r="BT155" s="332"/>
      <c r="BU155" s="332"/>
      <c r="BV155" s="332"/>
      <c r="BW155" s="226"/>
    </row>
    <row r="156" spans="1:75" ht="12.75">
      <c r="A156" s="125"/>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AA156" s="129"/>
      <c r="AB156" s="129"/>
      <c r="AC156" s="129"/>
      <c r="AD156" s="129"/>
      <c r="AF156" s="129"/>
      <c r="AG156" s="129"/>
      <c r="AH156" s="129"/>
      <c r="AI156" s="126"/>
      <c r="AJ156" s="126"/>
      <c r="AK156" s="129"/>
      <c r="AL156" s="129"/>
      <c r="AM156" s="129"/>
      <c r="AN156" s="129"/>
      <c r="AP156" s="129"/>
      <c r="AQ156" s="129"/>
      <c r="AR156" s="129"/>
      <c r="AS156" s="129"/>
      <c r="AT156" s="129"/>
      <c r="AU156" s="305"/>
      <c r="AX156" s="129"/>
      <c r="AY156" s="129"/>
      <c r="AZ156" s="129"/>
      <c r="BA156" s="305"/>
      <c r="BB156" s="305"/>
      <c r="BC156" s="129"/>
      <c r="BE156" s="390"/>
      <c r="BF156" s="333"/>
      <c r="BG156" s="333"/>
      <c r="BH156" s="333"/>
      <c r="BI156" s="333"/>
      <c r="BJ156" s="106"/>
      <c r="BK156" s="106"/>
      <c r="BL156" s="333"/>
      <c r="BM156" s="106"/>
      <c r="BN156" s="106"/>
      <c r="BO156" s="333"/>
      <c r="BP156" s="333"/>
      <c r="BQ156" s="333"/>
      <c r="BR156" s="106"/>
      <c r="BS156" s="333"/>
      <c r="BT156" s="333"/>
      <c r="BU156" s="333"/>
      <c r="BV156" s="333"/>
      <c r="BW156" s="106"/>
    </row>
    <row r="157" spans="1:75" ht="12.75">
      <c r="A157" s="183" t="s">
        <v>192</v>
      </c>
      <c r="B157" s="88">
        <v>86231</v>
      </c>
      <c r="C157" s="88">
        <v>83626</v>
      </c>
      <c r="D157" s="88">
        <v>81976</v>
      </c>
      <c r="E157" s="88">
        <v>76974</v>
      </c>
      <c r="F157" s="106"/>
      <c r="G157" s="88">
        <v>74470</v>
      </c>
      <c r="H157" s="88">
        <v>72614</v>
      </c>
      <c r="I157" s="88">
        <v>69515</v>
      </c>
      <c r="J157" s="88">
        <v>72511</v>
      </c>
      <c r="K157" s="106"/>
      <c r="L157" s="88">
        <v>68813</v>
      </c>
      <c r="M157" s="88">
        <v>97605</v>
      </c>
      <c r="N157" s="88">
        <v>100602</v>
      </c>
      <c r="O157" s="88">
        <v>101237</v>
      </c>
      <c r="P157" s="106"/>
      <c r="Q157" s="88">
        <v>97691</v>
      </c>
      <c r="R157" s="88">
        <v>94336</v>
      </c>
      <c r="S157" s="88">
        <v>90881</v>
      </c>
      <c r="T157" s="88">
        <v>92917</v>
      </c>
      <c r="U157" s="106"/>
      <c r="V157" s="88">
        <v>95761</v>
      </c>
      <c r="W157" s="88">
        <v>104943</v>
      </c>
      <c r="X157" s="88">
        <v>153574</v>
      </c>
      <c r="Y157" s="88">
        <v>145971</v>
      </c>
      <c r="Z157" s="106"/>
      <c r="AA157" s="88">
        <v>146672</v>
      </c>
      <c r="AB157" s="88">
        <v>149607</v>
      </c>
      <c r="AC157" s="88">
        <v>147694</v>
      </c>
      <c r="AD157" s="88">
        <v>147056</v>
      </c>
      <c r="AE157" s="106"/>
      <c r="AF157" s="88">
        <v>141145</v>
      </c>
      <c r="AG157" s="88">
        <v>133429</v>
      </c>
      <c r="AH157" s="88">
        <v>139371</v>
      </c>
      <c r="AI157" s="88">
        <v>144120</v>
      </c>
      <c r="AJ157" s="106"/>
      <c r="AK157" s="88">
        <v>150877</v>
      </c>
      <c r="AL157" s="88">
        <v>154041</v>
      </c>
      <c r="AM157" s="88">
        <v>161690</v>
      </c>
      <c r="AN157" s="88">
        <v>166081</v>
      </c>
      <c r="AO157" s="106"/>
      <c r="AP157" s="88">
        <v>167816</v>
      </c>
      <c r="AQ157" s="88">
        <v>651156</v>
      </c>
      <c r="AR157" s="88">
        <v>154541</v>
      </c>
      <c r="AS157" s="88"/>
      <c r="AT157" s="88">
        <v>166180</v>
      </c>
      <c r="AU157" s="100"/>
      <c r="AV157" s="106"/>
      <c r="AW157" s="300">
        <v>166578</v>
      </c>
      <c r="AX157" s="88">
        <v>167826</v>
      </c>
      <c r="AY157" s="88">
        <v>177960</v>
      </c>
      <c r="AZ157" s="88">
        <v>163590</v>
      </c>
      <c r="BA157" s="100"/>
      <c r="BB157" s="100"/>
      <c r="BC157" s="88">
        <v>187627</v>
      </c>
      <c r="BD157" s="106"/>
      <c r="BE157" s="378"/>
      <c r="BF157" s="106"/>
      <c r="BG157" s="106"/>
      <c r="BH157" s="106"/>
      <c r="BI157" s="106"/>
      <c r="BJ157" s="106"/>
      <c r="BK157" s="106"/>
      <c r="BL157" s="106"/>
      <c r="BM157" s="106"/>
      <c r="BN157" s="106"/>
      <c r="BO157" s="106"/>
      <c r="BP157" s="106"/>
      <c r="BQ157" s="106"/>
      <c r="BR157" s="106"/>
      <c r="BS157" s="106"/>
      <c r="BT157" s="106"/>
      <c r="BU157" s="106"/>
      <c r="BV157" s="106"/>
      <c r="BW157" s="106"/>
    </row>
    <row r="158" spans="1:75" ht="12.75">
      <c r="A158" s="183" t="s">
        <v>193</v>
      </c>
      <c r="B158" s="88">
        <v>213542</v>
      </c>
      <c r="C158" s="88">
        <v>214068</v>
      </c>
      <c r="D158" s="88">
        <v>213537</v>
      </c>
      <c r="E158" s="88">
        <v>198285</v>
      </c>
      <c r="F158" s="106"/>
      <c r="G158" s="88">
        <v>192831</v>
      </c>
      <c r="H158" s="88">
        <v>183446</v>
      </c>
      <c r="I158" s="88">
        <v>180776</v>
      </c>
      <c r="J158" s="88">
        <v>185951</v>
      </c>
      <c r="K158" s="106"/>
      <c r="L158" s="88">
        <v>179894</v>
      </c>
      <c r="M158" s="88">
        <v>371352</v>
      </c>
      <c r="N158" s="88">
        <v>358519</v>
      </c>
      <c r="O158" s="88">
        <v>398805</v>
      </c>
      <c r="P158" s="106"/>
      <c r="Q158" s="88">
        <v>430061</v>
      </c>
      <c r="R158" s="88">
        <v>437680</v>
      </c>
      <c r="S158" s="88">
        <v>443465</v>
      </c>
      <c r="T158" s="88">
        <v>465134</v>
      </c>
      <c r="U158" s="106"/>
      <c r="V158" s="88">
        <v>465822</v>
      </c>
      <c r="W158" s="88">
        <v>498937</v>
      </c>
      <c r="X158" s="88">
        <v>494361</v>
      </c>
      <c r="Y158" s="88">
        <v>515954</v>
      </c>
      <c r="Z158" s="106"/>
      <c r="AA158" s="88">
        <v>517915</v>
      </c>
      <c r="AB158" s="88">
        <v>525384</v>
      </c>
      <c r="AC158" s="88">
        <v>527127</v>
      </c>
      <c r="AD158" s="88">
        <v>540361</v>
      </c>
      <c r="AE158" s="106"/>
      <c r="AF158" s="88">
        <v>531822</v>
      </c>
      <c r="AG158" s="88">
        <v>522229</v>
      </c>
      <c r="AH158" s="88">
        <v>521218</v>
      </c>
      <c r="AI158" s="88">
        <v>665982</v>
      </c>
      <c r="AJ158" s="106"/>
      <c r="AK158" s="88">
        <v>672292</v>
      </c>
      <c r="AL158" s="88">
        <v>667198</v>
      </c>
      <c r="AM158" s="88">
        <v>671399</v>
      </c>
      <c r="AN158" s="88">
        <v>748977</v>
      </c>
      <c r="AO158" s="106"/>
      <c r="AP158" s="88">
        <v>827180</v>
      </c>
      <c r="AQ158" s="88">
        <v>1015320</v>
      </c>
      <c r="AR158" s="88">
        <v>753530</v>
      </c>
      <c r="AS158" s="88"/>
      <c r="AT158" s="88">
        <v>750470</v>
      </c>
      <c r="AU158" s="100"/>
      <c r="AV158" s="106"/>
      <c r="AW158" s="300">
        <v>751275</v>
      </c>
      <c r="AX158" s="88">
        <v>726334</v>
      </c>
      <c r="AY158" s="88">
        <v>761459</v>
      </c>
      <c r="AZ158" s="88">
        <v>731026</v>
      </c>
      <c r="BA158" s="100"/>
      <c r="BB158" s="100"/>
      <c r="BC158" s="88">
        <v>729133</v>
      </c>
      <c r="BD158" s="106"/>
      <c r="BE158" s="378"/>
      <c r="BF158" s="106"/>
      <c r="BG158" s="106"/>
      <c r="BH158" s="106"/>
      <c r="BI158" s="106"/>
      <c r="BJ158" s="106"/>
      <c r="BK158" s="106"/>
      <c r="BL158" s="106"/>
      <c r="BM158" s="106"/>
      <c r="BN158" s="106"/>
      <c r="BO158" s="106"/>
      <c r="BP158" s="106"/>
      <c r="BQ158" s="106"/>
      <c r="BR158" s="106"/>
      <c r="BS158" s="106"/>
      <c r="BT158" s="106"/>
      <c r="BU158" s="106"/>
      <c r="BV158" s="106"/>
      <c r="BW158" s="106"/>
    </row>
    <row r="159" spans="1:75" ht="12.75">
      <c r="A159" s="183" t="s">
        <v>432</v>
      </c>
      <c r="B159" s="88">
        <v>112673</v>
      </c>
      <c r="C159" s="88">
        <v>106472</v>
      </c>
      <c r="D159" s="88">
        <v>104563</v>
      </c>
      <c r="E159" s="88">
        <v>103524</v>
      </c>
      <c r="F159" s="106"/>
      <c r="G159" s="88">
        <v>101831</v>
      </c>
      <c r="H159" s="88">
        <v>100839</v>
      </c>
      <c r="I159" s="88">
        <v>100337</v>
      </c>
      <c r="J159" s="88">
        <v>100953</v>
      </c>
      <c r="K159" s="106"/>
      <c r="L159" s="88">
        <v>114041</v>
      </c>
      <c r="M159" s="88">
        <v>113765</v>
      </c>
      <c r="N159" s="88">
        <v>99933</v>
      </c>
      <c r="O159" s="88">
        <v>105050</v>
      </c>
      <c r="P159" s="106"/>
      <c r="Q159" s="88">
        <v>103045</v>
      </c>
      <c r="R159" s="88">
        <v>103140</v>
      </c>
      <c r="S159" s="88">
        <v>104415</v>
      </c>
      <c r="T159" s="88">
        <v>112095</v>
      </c>
      <c r="U159" s="106"/>
      <c r="V159" s="88">
        <v>115034</v>
      </c>
      <c r="W159" s="88">
        <v>117612</v>
      </c>
      <c r="X159" s="88">
        <v>120692</v>
      </c>
      <c r="Y159" s="88">
        <v>192344</v>
      </c>
      <c r="Z159" s="106"/>
      <c r="AA159" s="88">
        <v>73979</v>
      </c>
      <c r="AB159" s="88">
        <v>76008</v>
      </c>
      <c r="AC159" s="88">
        <v>76796</v>
      </c>
      <c r="AD159" s="88">
        <v>79022</v>
      </c>
      <c r="AE159" s="106"/>
      <c r="AF159" s="88">
        <v>78197</v>
      </c>
      <c r="AG159" s="88">
        <v>78168</v>
      </c>
      <c r="AH159" s="88">
        <v>84429</v>
      </c>
      <c r="AI159" s="88">
        <v>100654</v>
      </c>
      <c r="AJ159" s="106"/>
      <c r="AK159" s="88">
        <v>118306</v>
      </c>
      <c r="AL159" s="88">
        <v>152942</v>
      </c>
      <c r="AM159" s="88">
        <v>190284</v>
      </c>
      <c r="AN159" s="88">
        <v>231821</v>
      </c>
      <c r="AO159" s="106"/>
      <c r="AP159" s="88">
        <v>258285</v>
      </c>
      <c r="AQ159" s="88">
        <v>264070</v>
      </c>
      <c r="AR159" s="88">
        <v>272051</v>
      </c>
      <c r="AS159" s="88"/>
      <c r="AT159" s="88">
        <v>292029</v>
      </c>
      <c r="AU159" s="100"/>
      <c r="AV159" s="106"/>
      <c r="AW159" s="300">
        <v>357778</v>
      </c>
      <c r="AX159" s="88">
        <v>318437</v>
      </c>
      <c r="AY159" s="88">
        <v>412080</v>
      </c>
      <c r="AZ159" s="88">
        <v>423852</v>
      </c>
      <c r="BA159" s="100"/>
      <c r="BB159" s="100"/>
      <c r="BC159" s="88">
        <v>429948</v>
      </c>
      <c r="BD159" s="106"/>
      <c r="BE159" s="378"/>
      <c r="BF159" s="106"/>
      <c r="BG159" s="106"/>
      <c r="BH159" s="106"/>
      <c r="BI159" s="106"/>
      <c r="BJ159" s="106"/>
      <c r="BK159" s="106"/>
      <c r="BL159" s="106"/>
      <c r="BM159" s="106"/>
      <c r="BN159" s="106"/>
      <c r="BO159" s="106"/>
      <c r="BP159" s="106"/>
      <c r="BQ159" s="106"/>
      <c r="BR159" s="106"/>
      <c r="BS159" s="106"/>
      <c r="BT159" s="106"/>
      <c r="BU159" s="106"/>
      <c r="BV159" s="106"/>
      <c r="BW159" s="106"/>
    </row>
    <row r="160" spans="1:75" ht="12.75">
      <c r="A160" s="183" t="s">
        <v>62</v>
      </c>
      <c r="B160" s="88">
        <v>93916</v>
      </c>
      <c r="C160" s="88">
        <v>87215</v>
      </c>
      <c r="D160" s="88">
        <v>86880</v>
      </c>
      <c r="E160" s="88">
        <v>86255</v>
      </c>
      <c r="F160" s="106"/>
      <c r="G160" s="88">
        <v>77016</v>
      </c>
      <c r="H160" s="88">
        <v>83544</v>
      </c>
      <c r="I160" s="88">
        <v>78599</v>
      </c>
      <c r="J160" s="88">
        <v>74341</v>
      </c>
      <c r="K160" s="106"/>
      <c r="L160" s="88">
        <v>91296</v>
      </c>
      <c r="M160" s="88">
        <v>141133</v>
      </c>
      <c r="N160" s="88">
        <v>157445</v>
      </c>
      <c r="O160" s="88">
        <v>176716</v>
      </c>
      <c r="P160" s="106"/>
      <c r="Q160" s="88">
        <v>166099</v>
      </c>
      <c r="R160" s="88">
        <v>187248</v>
      </c>
      <c r="S160" s="88">
        <v>193133</v>
      </c>
      <c r="T160" s="88">
        <v>193538</v>
      </c>
      <c r="U160" s="106"/>
      <c r="V160" s="88">
        <v>189494</v>
      </c>
      <c r="W160" s="88">
        <v>185411</v>
      </c>
      <c r="X160" s="88">
        <v>200305</v>
      </c>
      <c r="Y160" s="88">
        <v>202032</v>
      </c>
      <c r="Z160" s="106"/>
      <c r="AA160" s="88">
        <v>202491</v>
      </c>
      <c r="AB160" s="88">
        <v>201780</v>
      </c>
      <c r="AC160" s="88">
        <v>197916</v>
      </c>
      <c r="AD160" s="88">
        <v>196188</v>
      </c>
      <c r="AE160" s="106"/>
      <c r="AF160" s="88">
        <v>192942</v>
      </c>
      <c r="AG160" s="88">
        <v>188476</v>
      </c>
      <c r="AH160" s="88">
        <v>186996</v>
      </c>
      <c r="AI160" s="88">
        <v>186269</v>
      </c>
      <c r="AJ160" s="106"/>
      <c r="AK160" s="88">
        <v>184543</v>
      </c>
      <c r="AL160" s="88">
        <v>181913</v>
      </c>
      <c r="AM160" s="88">
        <v>180036</v>
      </c>
      <c r="AN160" s="88">
        <v>182689</v>
      </c>
      <c r="AO160" s="106"/>
      <c r="AP160" s="88">
        <v>188173</v>
      </c>
      <c r="AQ160" s="88">
        <v>184269</v>
      </c>
      <c r="AR160" s="88">
        <v>183611</v>
      </c>
      <c r="AS160" s="88"/>
      <c r="AT160" s="88">
        <v>182927</v>
      </c>
      <c r="AU160" s="100"/>
      <c r="AV160" s="106"/>
      <c r="AW160" s="300">
        <v>183080</v>
      </c>
      <c r="AX160" s="88">
        <v>179366</v>
      </c>
      <c r="AY160" s="88">
        <v>183016</v>
      </c>
      <c r="AZ160" s="88">
        <v>178231</v>
      </c>
      <c r="BA160" s="100"/>
      <c r="BB160" s="100"/>
      <c r="BC160" s="88">
        <v>176578</v>
      </c>
      <c r="BD160" s="106"/>
      <c r="BE160" s="378"/>
      <c r="BF160" s="106"/>
      <c r="BG160" s="106"/>
      <c r="BH160" s="106"/>
      <c r="BI160" s="106"/>
      <c r="BJ160" s="106"/>
      <c r="BK160" s="106"/>
      <c r="BL160" s="106"/>
      <c r="BM160" s="106"/>
      <c r="BN160" s="106"/>
      <c r="BO160" s="106"/>
      <c r="BP160" s="106"/>
      <c r="BQ160" s="106"/>
      <c r="BR160" s="106"/>
      <c r="BS160" s="106"/>
      <c r="BT160" s="106"/>
      <c r="BU160" s="106"/>
      <c r="BV160" s="106"/>
      <c r="BW160" s="106"/>
    </row>
    <row r="161" spans="1:75" ht="12.75">
      <c r="A161" s="183" t="s">
        <v>195</v>
      </c>
      <c r="B161" s="88">
        <v>25025</v>
      </c>
      <c r="C161" s="88">
        <v>24111</v>
      </c>
      <c r="D161" s="88">
        <v>24657</v>
      </c>
      <c r="E161" s="88">
        <v>23752</v>
      </c>
      <c r="F161" s="106"/>
      <c r="G161" s="88">
        <v>30333</v>
      </c>
      <c r="H161" s="88">
        <v>23093</v>
      </c>
      <c r="I161" s="88">
        <v>28046</v>
      </c>
      <c r="J161" s="88">
        <v>38983</v>
      </c>
      <c r="K161" s="106"/>
      <c r="L161" s="88">
        <v>28512</v>
      </c>
      <c r="M161" s="88">
        <v>63295</v>
      </c>
      <c r="N161" s="88">
        <v>72318</v>
      </c>
      <c r="O161" s="88">
        <v>74143</v>
      </c>
      <c r="P161" s="106"/>
      <c r="Q161" s="88">
        <v>56617</v>
      </c>
      <c r="R161" s="88">
        <v>56376</v>
      </c>
      <c r="S161" s="88">
        <v>55406</v>
      </c>
      <c r="T161" s="88">
        <v>61385</v>
      </c>
      <c r="U161" s="106"/>
      <c r="V161" s="88">
        <v>61152</v>
      </c>
      <c r="W161" s="88">
        <v>67338</v>
      </c>
      <c r="X161" s="88">
        <v>55577</v>
      </c>
      <c r="Y161" s="88">
        <v>56452</v>
      </c>
      <c r="Z161" s="106"/>
      <c r="AA161" s="88">
        <v>58290</v>
      </c>
      <c r="AB161" s="88">
        <v>57638</v>
      </c>
      <c r="AC161" s="88">
        <v>59512</v>
      </c>
      <c r="AD161" s="88">
        <v>64521</v>
      </c>
      <c r="AE161" s="106"/>
      <c r="AF161" s="88">
        <v>64458</v>
      </c>
      <c r="AG161" s="88">
        <v>62766</v>
      </c>
      <c r="AH161" s="88">
        <v>66081</v>
      </c>
      <c r="AI161" s="88">
        <v>76661</v>
      </c>
      <c r="AJ161" s="106"/>
      <c r="AK161" s="88">
        <v>78908</v>
      </c>
      <c r="AL161" s="88">
        <v>78556</v>
      </c>
      <c r="AM161" s="88">
        <v>78640</v>
      </c>
      <c r="AN161" s="88">
        <v>86264</v>
      </c>
      <c r="AO161" s="106"/>
      <c r="AP161" s="88">
        <v>88008</v>
      </c>
      <c r="AQ161" s="88">
        <v>111333</v>
      </c>
      <c r="AR161" s="88">
        <v>80320</v>
      </c>
      <c r="AS161" s="88"/>
      <c r="AT161" s="88">
        <v>74126</v>
      </c>
      <c r="AU161" s="100"/>
      <c r="AV161" s="106"/>
      <c r="AW161" s="300">
        <v>72914</v>
      </c>
      <c r="AX161" s="88">
        <v>72352</v>
      </c>
      <c r="AY161" s="88">
        <v>72746</v>
      </c>
      <c r="AZ161" s="88">
        <v>70614</v>
      </c>
      <c r="BA161" s="100"/>
      <c r="BB161" s="100"/>
      <c r="BC161" s="88">
        <v>70505</v>
      </c>
      <c r="BD161" s="106"/>
      <c r="BE161" s="378"/>
      <c r="BF161" s="106"/>
      <c r="BG161" s="106"/>
      <c r="BH161" s="106"/>
      <c r="BI161" s="106"/>
      <c r="BJ161" s="106"/>
      <c r="BK161" s="106"/>
      <c r="BL161" s="106"/>
      <c r="BM161" s="106"/>
      <c r="BN161" s="106"/>
      <c r="BO161" s="106"/>
      <c r="BP161" s="106"/>
      <c r="BQ161" s="106"/>
      <c r="BR161" s="106"/>
      <c r="BS161" s="106"/>
      <c r="BT161" s="106"/>
      <c r="BU161" s="106"/>
      <c r="BV161" s="106"/>
      <c r="BW161" s="106"/>
    </row>
    <row r="162" spans="1:75" ht="12.75">
      <c r="A162" s="183" t="s">
        <v>452</v>
      </c>
      <c r="B162" s="88"/>
      <c r="C162" s="88"/>
      <c r="D162" s="88"/>
      <c r="E162" s="88"/>
      <c r="F162" s="106"/>
      <c r="G162" s="88"/>
      <c r="H162" s="88"/>
      <c r="I162" s="88"/>
      <c r="J162" s="88"/>
      <c r="K162" s="106"/>
      <c r="L162" s="88"/>
      <c r="M162" s="88"/>
      <c r="N162" s="88"/>
      <c r="O162" s="88"/>
      <c r="P162" s="106"/>
      <c r="Q162" s="88"/>
      <c r="R162" s="88"/>
      <c r="S162" s="88"/>
      <c r="T162" s="88"/>
      <c r="U162" s="106"/>
      <c r="V162" s="88"/>
      <c r="W162" s="88"/>
      <c r="X162" s="88"/>
      <c r="Y162" s="88"/>
      <c r="Z162" s="106"/>
      <c r="AA162" s="88"/>
      <c r="AB162" s="88"/>
      <c r="AC162" s="88"/>
      <c r="AD162" s="88"/>
      <c r="AE162" s="106"/>
      <c r="AF162" s="88"/>
      <c r="AG162" s="88"/>
      <c r="AH162" s="88"/>
      <c r="AI162" s="88"/>
      <c r="AJ162" s="106"/>
      <c r="AK162" s="88"/>
      <c r="AL162" s="88"/>
      <c r="AM162" s="88"/>
      <c r="AN162" s="88"/>
      <c r="AO162" s="106"/>
      <c r="AP162" s="88"/>
      <c r="AQ162" s="88"/>
      <c r="AR162" s="88"/>
      <c r="AS162" s="88"/>
      <c r="AT162" s="88"/>
      <c r="AU162" s="100"/>
      <c r="AV162" s="106"/>
      <c r="AW162" s="300">
        <v>-67244</v>
      </c>
      <c r="AX162" s="88"/>
      <c r="AY162" s="88">
        <v>-66645</v>
      </c>
      <c r="AZ162" s="88">
        <v>-65349</v>
      </c>
      <c r="BA162" s="100"/>
      <c r="BB162" s="100"/>
      <c r="BC162" s="88">
        <v>-64542</v>
      </c>
      <c r="BD162" s="106"/>
      <c r="BE162" s="378"/>
      <c r="BF162" s="106"/>
      <c r="BG162" s="106"/>
      <c r="BH162" s="106"/>
      <c r="BI162" s="106"/>
      <c r="BJ162" s="106"/>
      <c r="BK162" s="106"/>
      <c r="BL162" s="106"/>
      <c r="BM162" s="106"/>
      <c r="BN162" s="106"/>
      <c r="BO162" s="106"/>
      <c r="BP162" s="106"/>
      <c r="BQ162" s="106"/>
      <c r="BR162" s="106"/>
      <c r="BS162" s="106"/>
      <c r="BT162" s="106"/>
      <c r="BU162" s="106"/>
      <c r="BV162" s="106"/>
      <c r="BW162" s="106"/>
    </row>
    <row r="163" spans="1:75" ht="12.75">
      <c r="A163" s="185" t="s">
        <v>205</v>
      </c>
      <c r="B163" s="96">
        <v>531387</v>
      </c>
      <c r="C163" s="96">
        <v>515492</v>
      </c>
      <c r="D163" s="96">
        <v>511613</v>
      </c>
      <c r="E163" s="96">
        <v>488790</v>
      </c>
      <c r="F163" s="108"/>
      <c r="G163" s="96">
        <v>476481</v>
      </c>
      <c r="H163" s="96">
        <v>463536</v>
      </c>
      <c r="I163" s="96">
        <v>457273</v>
      </c>
      <c r="J163" s="96">
        <v>472739</v>
      </c>
      <c r="K163" s="108"/>
      <c r="L163" s="96">
        <v>482556</v>
      </c>
      <c r="M163" s="96">
        <v>787150</v>
      </c>
      <c r="N163" s="96">
        <v>788817</v>
      </c>
      <c r="O163" s="96">
        <v>855951</v>
      </c>
      <c r="P163" s="108"/>
      <c r="Q163" s="96">
        <v>853513</v>
      </c>
      <c r="R163" s="96">
        <v>878780</v>
      </c>
      <c r="S163" s="96">
        <v>887300</v>
      </c>
      <c r="T163" s="96">
        <v>925069</v>
      </c>
      <c r="U163" s="108"/>
      <c r="V163" s="96">
        <v>927263</v>
      </c>
      <c r="W163" s="96">
        <v>974241</v>
      </c>
      <c r="X163" s="96">
        <v>1024509</v>
      </c>
      <c r="Y163" s="96">
        <v>1112753</v>
      </c>
      <c r="Z163" s="108"/>
      <c r="AA163" s="96">
        <v>999347</v>
      </c>
      <c r="AB163" s="96">
        <v>1010417</v>
      </c>
      <c r="AC163" s="96">
        <v>1009045</v>
      </c>
      <c r="AD163" s="96">
        <v>1027148</v>
      </c>
      <c r="AE163" s="108"/>
      <c r="AF163" s="96">
        <v>1008564</v>
      </c>
      <c r="AG163" s="96">
        <v>985068</v>
      </c>
      <c r="AH163" s="96">
        <v>998095</v>
      </c>
      <c r="AI163" s="96">
        <v>1173686</v>
      </c>
      <c r="AJ163" s="108"/>
      <c r="AK163" s="96">
        <v>1204926</v>
      </c>
      <c r="AL163" s="96">
        <f>SUM(AL157:AL161)</f>
        <v>1234650</v>
      </c>
      <c r="AM163" s="96">
        <v>1282049</v>
      </c>
      <c r="AN163" s="96">
        <v>1415832</v>
      </c>
      <c r="AO163" s="108"/>
      <c r="AP163" s="96">
        <v>1529462</v>
      </c>
      <c r="AQ163" s="96">
        <v>2226148</v>
      </c>
      <c r="AR163" s="96">
        <v>1444053</v>
      </c>
      <c r="AS163" s="96"/>
      <c r="AT163" s="96">
        <v>1465732</v>
      </c>
      <c r="AU163" s="294"/>
      <c r="AV163" s="108"/>
      <c r="AW163" s="308">
        <v>1464381</v>
      </c>
      <c r="AX163" s="96">
        <v>1464315</v>
      </c>
      <c r="AY163" s="96">
        <v>1540616</v>
      </c>
      <c r="AZ163" s="96">
        <v>1501964</v>
      </c>
      <c r="BA163" s="294"/>
      <c r="BB163" s="294"/>
      <c r="BC163" s="96">
        <v>1529249</v>
      </c>
      <c r="BD163" s="108"/>
      <c r="BE163" s="386"/>
      <c r="BF163" s="108"/>
      <c r="BG163" s="108"/>
      <c r="BH163" s="108"/>
      <c r="BI163" s="108"/>
      <c r="BJ163" s="108"/>
      <c r="BK163" s="108"/>
      <c r="BL163" s="108"/>
      <c r="BM163" s="108"/>
      <c r="BN163" s="108"/>
      <c r="BO163" s="108"/>
      <c r="BP163" s="108"/>
      <c r="BQ163" s="108"/>
      <c r="BR163" s="108"/>
      <c r="BS163" s="108"/>
      <c r="BT163" s="108"/>
      <c r="BU163" s="108"/>
      <c r="BV163" s="108"/>
      <c r="BW163" s="108"/>
    </row>
    <row r="164" ht="12.75"/>
    <row r="165" ht="116.25">
      <c r="A165" s="130" t="s">
        <v>320</v>
      </c>
    </row>
    <row r="166" ht="129">
      <c r="A166" s="130" t="s">
        <v>321</v>
      </c>
    </row>
    <row r="167" ht="12.75"/>
    <row r="168" ht="12.75">
      <c r="A168" s="3" t="s">
        <v>478</v>
      </c>
    </row>
  </sheetData>
  <sheetProtection/>
  <printOptions/>
  <pageMargins left="0.75" right="0.75" top="1" bottom="1" header="0.5" footer="0.5"/>
  <pageSetup fitToHeight="1" fitToWidth="1" horizontalDpi="300" verticalDpi="300" orientation="landscape" paperSize="9" scale="14" r:id="rId1"/>
</worksheet>
</file>

<file path=xl/worksheets/sheet15.xml><?xml version="1.0" encoding="utf-8"?>
<worksheet xmlns="http://schemas.openxmlformats.org/spreadsheetml/2006/main" xmlns:r="http://schemas.openxmlformats.org/officeDocument/2006/relationships">
  <sheetPr>
    <tabColor indexed="13"/>
    <pageSetUpPr fitToPage="1"/>
  </sheetPr>
  <dimension ref="A1:BW173"/>
  <sheetViews>
    <sheetView zoomScalePageLayoutView="0" workbookViewId="0" topLeftCell="A1">
      <pane xSplit="21" ySplit="3" topLeftCell="BP4" activePane="bottomRight" state="frozen"/>
      <selection pane="topLeft" activeCell="A1" sqref="A1"/>
      <selection pane="topRight" activeCell="V1" sqref="V1"/>
      <selection pane="bottomLeft" activeCell="A4" sqref="A4"/>
      <selection pane="bottomRight" activeCell="A1" sqref="A1"/>
    </sheetView>
  </sheetViews>
  <sheetFormatPr defaultColWidth="9.140625" defaultRowHeight="12.75" zeroHeight="1" outlineLevelCol="1"/>
  <cols>
    <col min="1" max="1" width="73.57421875" style="91" customWidth="1"/>
    <col min="2" max="21" width="12.57421875" style="91" hidden="1" customWidth="1" outlineLevel="1"/>
    <col min="22" max="22" width="12.57421875" style="91" customWidth="1" collapsed="1"/>
    <col min="23" max="44" width="12.57421875" style="91" customWidth="1"/>
    <col min="45" max="45" width="12.57421875" style="290" customWidth="1"/>
    <col min="46" max="46" width="12.57421875" style="91" customWidth="1"/>
    <col min="47" max="47" width="12.57421875" style="290" customWidth="1"/>
    <col min="48" max="48" width="12.57421875" style="91" customWidth="1"/>
    <col min="49" max="49" width="12.57421875" style="290" customWidth="1"/>
    <col min="50" max="52" width="12.28125" style="91" customWidth="1"/>
    <col min="53" max="54" width="12.28125" style="290" customWidth="1"/>
    <col min="55" max="55" width="12.28125" style="91" customWidth="1"/>
    <col min="56" max="56" width="12.57421875" style="91" customWidth="1"/>
    <col min="57" max="57" width="12.28125" style="371" customWidth="1"/>
    <col min="58" max="60" width="12.28125" style="91" customWidth="1"/>
    <col min="61" max="61" width="14.421875" style="91" customWidth="1"/>
    <col min="62" max="75" width="12.28125" style="91" customWidth="1"/>
    <col min="76" max="16384" width="9.140625" style="91" customWidth="1"/>
  </cols>
  <sheetData>
    <row r="1" ht="12.75">
      <c r="A1" s="118" t="s">
        <v>1</v>
      </c>
    </row>
    <row r="2" ht="12.75"/>
    <row r="3" spans="1:75" s="255" customFormat="1" ht="26.25" customHeight="1">
      <c r="A3" s="254" t="s">
        <v>528</v>
      </c>
      <c r="B3" s="90" t="s">
        <v>2</v>
      </c>
      <c r="C3" s="90" t="s">
        <v>3</v>
      </c>
      <c r="D3" s="90" t="s">
        <v>4</v>
      </c>
      <c r="E3" s="90" t="s">
        <v>5</v>
      </c>
      <c r="F3" s="90" t="s">
        <v>6</v>
      </c>
      <c r="G3" s="90" t="s">
        <v>12</v>
      </c>
      <c r="H3" s="90" t="s">
        <v>13</v>
      </c>
      <c r="I3" s="90" t="s">
        <v>14</v>
      </c>
      <c r="J3" s="90" t="s">
        <v>15</v>
      </c>
      <c r="K3" s="90" t="s">
        <v>16</v>
      </c>
      <c r="L3" s="90" t="s">
        <v>17</v>
      </c>
      <c r="M3" s="90" t="s">
        <v>18</v>
      </c>
      <c r="N3" s="90" t="s">
        <v>19</v>
      </c>
      <c r="O3" s="90" t="s">
        <v>20</v>
      </c>
      <c r="P3" s="90" t="s">
        <v>21</v>
      </c>
      <c r="Q3" s="90" t="s">
        <v>22</v>
      </c>
      <c r="R3" s="90" t="s">
        <v>23</v>
      </c>
      <c r="S3" s="90" t="s">
        <v>24</v>
      </c>
      <c r="T3" s="90" t="s">
        <v>25</v>
      </c>
      <c r="U3" s="90" t="s">
        <v>26</v>
      </c>
      <c r="V3" s="90" t="s">
        <v>27</v>
      </c>
      <c r="W3" s="90" t="s">
        <v>28</v>
      </c>
      <c r="X3" s="90" t="s">
        <v>29</v>
      </c>
      <c r="Y3" s="90" t="s">
        <v>30</v>
      </c>
      <c r="Z3" s="90" t="s">
        <v>31</v>
      </c>
      <c r="AA3" s="90" t="s">
        <v>32</v>
      </c>
      <c r="AB3" s="90" t="s">
        <v>33</v>
      </c>
      <c r="AC3" s="90" t="s">
        <v>34</v>
      </c>
      <c r="AD3" s="90" t="s">
        <v>271</v>
      </c>
      <c r="AE3" s="90" t="s">
        <v>272</v>
      </c>
      <c r="AF3" s="90" t="s">
        <v>274</v>
      </c>
      <c r="AG3" s="90" t="s">
        <v>276</v>
      </c>
      <c r="AH3" s="90" t="s">
        <v>278</v>
      </c>
      <c r="AI3" s="90" t="s">
        <v>280</v>
      </c>
      <c r="AJ3" s="90" t="s">
        <v>281</v>
      </c>
      <c r="AK3" s="90" t="s">
        <v>289</v>
      </c>
      <c r="AL3" s="90" t="s">
        <v>290</v>
      </c>
      <c r="AM3" s="90" t="s">
        <v>291</v>
      </c>
      <c r="AN3" s="90" t="s">
        <v>292</v>
      </c>
      <c r="AO3" s="90" t="s">
        <v>293</v>
      </c>
      <c r="AP3" s="90" t="s">
        <v>329</v>
      </c>
      <c r="AQ3" s="90" t="s">
        <v>330</v>
      </c>
      <c r="AR3" s="90" t="s">
        <v>331</v>
      </c>
      <c r="AS3" s="289" t="s">
        <v>490</v>
      </c>
      <c r="AT3" s="90" t="s">
        <v>332</v>
      </c>
      <c r="AU3" s="289" t="s">
        <v>477</v>
      </c>
      <c r="AV3" s="90" t="s">
        <v>333</v>
      </c>
      <c r="AW3" s="289" t="s">
        <v>463</v>
      </c>
      <c r="AX3" s="90" t="s">
        <v>448</v>
      </c>
      <c r="AY3" s="90" t="s">
        <v>451</v>
      </c>
      <c r="AZ3" s="90" t="s">
        <v>453</v>
      </c>
      <c r="BA3" s="289" t="s">
        <v>461</v>
      </c>
      <c r="BB3" s="289" t="s">
        <v>480</v>
      </c>
      <c r="BC3" s="90" t="s">
        <v>454</v>
      </c>
      <c r="BD3" s="90" t="s">
        <v>457</v>
      </c>
      <c r="BE3" s="342" t="s">
        <v>492</v>
      </c>
      <c r="BF3" s="7" t="s">
        <v>553</v>
      </c>
      <c r="BG3" s="7" t="s">
        <v>560</v>
      </c>
      <c r="BH3" s="7" t="s">
        <v>493</v>
      </c>
      <c r="BI3" s="7"/>
      <c r="BJ3" s="90" t="s">
        <v>494</v>
      </c>
      <c r="BK3" s="90"/>
      <c r="BL3" s="7" t="s">
        <v>495</v>
      </c>
      <c r="BM3" s="7" t="s">
        <v>554</v>
      </c>
      <c r="BN3" s="7" t="s">
        <v>611</v>
      </c>
      <c r="BO3" s="7" t="s">
        <v>561</v>
      </c>
      <c r="BP3" s="7" t="s">
        <v>572</v>
      </c>
      <c r="BQ3" s="7" t="s">
        <v>570</v>
      </c>
      <c r="BR3" s="90" t="s">
        <v>574</v>
      </c>
      <c r="BS3" s="7" t="s">
        <v>595</v>
      </c>
      <c r="BT3" s="7" t="s">
        <v>605</v>
      </c>
      <c r="BU3" s="7" t="s">
        <v>617</v>
      </c>
      <c r="BV3" s="7" t="s">
        <v>619</v>
      </c>
      <c r="BW3" s="120" t="s">
        <v>620</v>
      </c>
    </row>
    <row r="4" spans="1:75" ht="12.75" customHeight="1">
      <c r="A4" s="131" t="s">
        <v>524</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3"/>
      <c r="AJ4" s="123"/>
      <c r="AK4" s="123"/>
      <c r="AL4" s="123"/>
      <c r="AM4" s="123"/>
      <c r="AN4" s="123"/>
      <c r="AO4" s="123"/>
      <c r="AP4" s="123"/>
      <c r="AQ4" s="123"/>
      <c r="AR4" s="123"/>
      <c r="AS4" s="301"/>
      <c r="AT4" s="123"/>
      <c r="AU4" s="301"/>
      <c r="AV4" s="123"/>
      <c r="AW4" s="301"/>
      <c r="AX4" s="123"/>
      <c r="AY4" s="123"/>
      <c r="AZ4" s="123"/>
      <c r="BA4" s="301"/>
      <c r="BB4" s="301"/>
      <c r="BC4" s="123"/>
      <c r="BD4" s="123"/>
      <c r="BE4" s="379"/>
      <c r="BF4" s="123"/>
      <c r="BG4" s="123"/>
      <c r="BH4" s="123"/>
      <c r="BI4" s="123"/>
      <c r="BJ4" s="123"/>
      <c r="BK4" s="123"/>
      <c r="BL4" s="123"/>
      <c r="BM4" s="123"/>
      <c r="BN4" s="123"/>
      <c r="BO4" s="123"/>
      <c r="BP4" s="123"/>
      <c r="BQ4" s="123"/>
      <c r="BR4" s="123"/>
      <c r="BS4" s="123"/>
      <c r="BT4" s="123"/>
      <c r="BU4" s="123"/>
      <c r="BV4" s="123"/>
      <c r="BW4" s="123"/>
    </row>
    <row r="5" spans="1:75" ht="12.75" customHeight="1">
      <c r="A5" s="139" t="s">
        <v>518</v>
      </c>
      <c r="B5" s="106"/>
      <c r="C5" s="106"/>
      <c r="D5" s="106"/>
      <c r="E5" s="106"/>
      <c r="F5" s="93">
        <v>578.0558464223386</v>
      </c>
      <c r="G5" s="106"/>
      <c r="H5" s="106"/>
      <c r="I5" s="106"/>
      <c r="J5" s="106"/>
      <c r="K5" s="93">
        <v>496.1937984496124</v>
      </c>
      <c r="L5" s="106"/>
      <c r="M5" s="106"/>
      <c r="N5" s="106"/>
      <c r="O5" s="106"/>
      <c r="P5" s="93">
        <v>674.9420677361853</v>
      </c>
      <c r="Q5" s="106"/>
      <c r="R5" s="106"/>
      <c r="S5" s="106"/>
      <c r="T5" s="106"/>
      <c r="U5" s="93">
        <v>1029.2250740375123</v>
      </c>
      <c r="V5" s="88">
        <v>306.49732620320856</v>
      </c>
      <c r="W5" s="88">
        <v>324.32677760968227</v>
      </c>
      <c r="X5" s="88">
        <v>394.955268389662</v>
      </c>
      <c r="Y5" s="88">
        <v>417.3890462700661</v>
      </c>
      <c r="Z5" s="93">
        <v>1449.6594892338508</v>
      </c>
      <c r="AA5" s="88">
        <v>470.1512287334594</v>
      </c>
      <c r="AB5" s="88">
        <v>445.29716981132077</v>
      </c>
      <c r="AC5" s="88">
        <v>475</v>
      </c>
      <c r="AD5" s="88">
        <f>AE5-AC5-AB5-AA5</f>
        <v>460.5516014552198</v>
      </c>
      <c r="AE5" s="93">
        <v>1851</v>
      </c>
      <c r="AF5" s="88">
        <v>390</v>
      </c>
      <c r="AG5" s="88">
        <v>415</v>
      </c>
      <c r="AH5" s="88">
        <v>466</v>
      </c>
      <c r="AI5" s="88">
        <v>559</v>
      </c>
      <c r="AJ5" s="93">
        <v>1822</v>
      </c>
      <c r="AK5" s="88">
        <v>541</v>
      </c>
      <c r="AL5" s="88">
        <v>666</v>
      </c>
      <c r="AM5" s="88">
        <v>754</v>
      </c>
      <c r="AN5" s="88">
        <v>556</v>
      </c>
      <c r="AO5" s="93">
        <v>2496</v>
      </c>
      <c r="AP5" s="88">
        <v>459</v>
      </c>
      <c r="AQ5" s="88">
        <v>382</v>
      </c>
      <c r="AR5" s="88">
        <v>675</v>
      </c>
      <c r="AS5" s="100">
        <v>1508</v>
      </c>
      <c r="AT5" s="88">
        <v>811</v>
      </c>
      <c r="AU5" s="100">
        <v>913</v>
      </c>
      <c r="AV5" s="93">
        <v>2279</v>
      </c>
      <c r="AW5" s="101">
        <v>2421</v>
      </c>
      <c r="AX5" s="88">
        <v>883</v>
      </c>
      <c r="AY5" s="88">
        <v>819</v>
      </c>
      <c r="AZ5" s="88">
        <v>831</v>
      </c>
      <c r="BA5" s="100">
        <v>867</v>
      </c>
      <c r="BB5" s="100">
        <v>2638</v>
      </c>
      <c r="BC5" s="88">
        <v>1079</v>
      </c>
      <c r="BD5" s="93">
        <v>3713</v>
      </c>
      <c r="BE5" s="372">
        <v>883</v>
      </c>
      <c r="BF5" s="88">
        <v>819</v>
      </c>
      <c r="BG5" s="88">
        <v>831</v>
      </c>
      <c r="BH5" s="88">
        <v>896</v>
      </c>
      <c r="BI5" s="88"/>
      <c r="BJ5" s="93">
        <v>3422</v>
      </c>
      <c r="BK5" s="93"/>
      <c r="BL5" s="88">
        <v>894</v>
      </c>
      <c r="BM5" s="88">
        <v>1077</v>
      </c>
      <c r="BN5" s="88">
        <v>1077</v>
      </c>
      <c r="BO5" s="88">
        <v>968</v>
      </c>
      <c r="BP5" s="88"/>
      <c r="BQ5" s="88">
        <v>1017</v>
      </c>
      <c r="BR5" s="93">
        <v>3959</v>
      </c>
      <c r="BS5" s="88">
        <v>954</v>
      </c>
      <c r="BT5" s="88">
        <v>848</v>
      </c>
      <c r="BU5" s="88">
        <v>798</v>
      </c>
      <c r="BV5" s="88">
        <v>859</v>
      </c>
      <c r="BW5" s="473">
        <v>3456</v>
      </c>
    </row>
    <row r="6" spans="1:75" ht="12.75" customHeight="1">
      <c r="A6" s="139" t="s">
        <v>517</v>
      </c>
      <c r="B6" s="106"/>
      <c r="C6" s="106"/>
      <c r="D6" s="106"/>
      <c r="E6" s="106"/>
      <c r="F6" s="93">
        <v>3074.30017452007</v>
      </c>
      <c r="G6" s="106"/>
      <c r="H6" s="106"/>
      <c r="I6" s="106"/>
      <c r="J6" s="106"/>
      <c r="K6" s="93">
        <v>2822.3488372093025</v>
      </c>
      <c r="L6" s="106"/>
      <c r="M6" s="106"/>
      <c r="N6" s="106"/>
      <c r="O6" s="106"/>
      <c r="P6" s="93">
        <v>4493.680926916221</v>
      </c>
      <c r="Q6" s="106"/>
      <c r="R6" s="106"/>
      <c r="S6" s="106"/>
      <c r="T6" s="106"/>
      <c r="U6" s="93">
        <v>6650.829220138204</v>
      </c>
      <c r="V6" s="88">
        <v>1703.9251336898396</v>
      </c>
      <c r="W6" s="88">
        <v>2188.1744831064043</v>
      </c>
      <c r="X6" s="88">
        <v>2498.543737574553</v>
      </c>
      <c r="Y6" s="88">
        <v>2417.9320113314448</v>
      </c>
      <c r="Z6" s="93">
        <v>8850.145217826741</v>
      </c>
      <c r="AA6" s="88">
        <v>2249.2060491493385</v>
      </c>
      <c r="AB6" s="88">
        <v>3022.4716981132074</v>
      </c>
      <c r="AC6" s="88">
        <v>3153</v>
      </c>
      <c r="AD6" s="88">
        <f aca="true" t="shared" si="0" ref="AD6:AD17">AE6-AC6-AB6-AA6</f>
        <v>2650.3222527374537</v>
      </c>
      <c r="AE6" s="93">
        <v>11075</v>
      </c>
      <c r="AF6" s="88">
        <v>2276</v>
      </c>
      <c r="AG6" s="88">
        <v>2929</v>
      </c>
      <c r="AH6" s="88">
        <v>3316</v>
      </c>
      <c r="AI6" s="88">
        <v>4036</v>
      </c>
      <c r="AJ6" s="93">
        <v>12461</v>
      </c>
      <c r="AK6" s="88">
        <v>4129</v>
      </c>
      <c r="AL6" s="88">
        <v>5340</v>
      </c>
      <c r="AM6" s="88">
        <v>5598</v>
      </c>
      <c r="AN6" s="88">
        <v>3529</v>
      </c>
      <c r="AO6" s="93">
        <v>18309</v>
      </c>
      <c r="AP6" s="88">
        <v>2230</v>
      </c>
      <c r="AQ6" s="88">
        <v>2884</v>
      </c>
      <c r="AR6" s="88">
        <v>4215</v>
      </c>
      <c r="AS6" s="100">
        <v>9033</v>
      </c>
      <c r="AT6" s="88">
        <v>4459</v>
      </c>
      <c r="AU6" s="100">
        <v>4417</v>
      </c>
      <c r="AV6" s="93">
        <v>13488</v>
      </c>
      <c r="AW6" s="101">
        <v>13450</v>
      </c>
      <c r="AX6" s="88">
        <v>3717</v>
      </c>
      <c r="AY6" s="88">
        <v>4111</v>
      </c>
      <c r="AZ6" s="88">
        <v>4731</v>
      </c>
      <c r="BA6" s="100">
        <v>4731</v>
      </c>
      <c r="BB6" s="100">
        <v>12607</v>
      </c>
      <c r="BC6" s="88">
        <v>4881</v>
      </c>
      <c r="BD6" s="93">
        <v>17474</v>
      </c>
      <c r="BE6" s="372">
        <v>4343</v>
      </c>
      <c r="BF6" s="88">
        <v>4671</v>
      </c>
      <c r="BG6" s="88">
        <v>5398</v>
      </c>
      <c r="BH6" s="88">
        <v>5493</v>
      </c>
      <c r="BI6" s="88"/>
      <c r="BJ6" s="93">
        <v>19938</v>
      </c>
      <c r="BK6" s="93"/>
      <c r="BL6" s="88">
        <v>4945</v>
      </c>
      <c r="BM6" s="88">
        <v>6476</v>
      </c>
      <c r="BN6" s="88">
        <v>6105</v>
      </c>
      <c r="BO6" s="88">
        <v>6416</v>
      </c>
      <c r="BP6" s="88"/>
      <c r="BQ6" s="88">
        <v>5558</v>
      </c>
      <c r="BR6" s="93">
        <v>22719</v>
      </c>
      <c r="BS6" s="88">
        <v>4967</v>
      </c>
      <c r="BT6" s="88">
        <v>5045</v>
      </c>
      <c r="BU6" s="88">
        <v>5671</v>
      </c>
      <c r="BV6" s="88">
        <v>5720</v>
      </c>
      <c r="BW6" s="473">
        <v>21372</v>
      </c>
    </row>
    <row r="7" spans="1:75" ht="12.75" customHeight="1">
      <c r="A7" s="139" t="s">
        <v>516</v>
      </c>
      <c r="B7" s="106"/>
      <c r="C7" s="106"/>
      <c r="D7" s="106"/>
      <c r="E7" s="106"/>
      <c r="F7" s="93">
        <v>1235.2460732984293</v>
      </c>
      <c r="G7" s="106"/>
      <c r="H7" s="106"/>
      <c r="I7" s="106"/>
      <c r="J7" s="106"/>
      <c r="K7" s="93">
        <v>1463.7054263565892</v>
      </c>
      <c r="L7" s="106"/>
      <c r="M7" s="106"/>
      <c r="N7" s="106"/>
      <c r="O7" s="106"/>
      <c r="P7" s="93">
        <v>1956.7914438502673</v>
      </c>
      <c r="Q7" s="106"/>
      <c r="R7" s="106"/>
      <c r="S7" s="106"/>
      <c r="T7" s="106"/>
      <c r="U7" s="93">
        <v>2671.6633761105627</v>
      </c>
      <c r="V7" s="88">
        <v>1299.4064171122996</v>
      </c>
      <c r="W7" s="88">
        <v>512.5567322239032</v>
      </c>
      <c r="X7" s="88">
        <v>415.3081510934394</v>
      </c>
      <c r="Y7" s="88">
        <v>1102.795089707271</v>
      </c>
      <c r="Z7" s="93">
        <v>3313.775663495243</v>
      </c>
      <c r="AA7" s="88">
        <v>1500.0094517958412</v>
      </c>
      <c r="AB7" s="88">
        <v>76.34433962264151</v>
      </c>
      <c r="AC7" s="88">
        <v>76</v>
      </c>
      <c r="AD7" s="88">
        <f t="shared" si="0"/>
        <v>96.64620858151739</v>
      </c>
      <c r="AE7" s="93">
        <v>1749</v>
      </c>
      <c r="AF7" s="88">
        <v>106</v>
      </c>
      <c r="AG7" s="88">
        <v>90</v>
      </c>
      <c r="AH7" s="88">
        <v>96</v>
      </c>
      <c r="AI7" s="88">
        <v>207</v>
      </c>
      <c r="AJ7" s="93">
        <v>493</v>
      </c>
      <c r="AK7" s="88">
        <v>224</v>
      </c>
      <c r="AL7" s="88">
        <v>238</v>
      </c>
      <c r="AM7" s="88">
        <v>323</v>
      </c>
      <c r="AN7" s="88">
        <v>362</v>
      </c>
      <c r="AO7" s="93">
        <v>1160</v>
      </c>
      <c r="AP7" s="88">
        <v>416</v>
      </c>
      <c r="AQ7" s="88">
        <v>189</v>
      </c>
      <c r="AR7" s="88">
        <v>1122</v>
      </c>
      <c r="AS7" s="100">
        <v>1629</v>
      </c>
      <c r="AT7" s="88">
        <v>908</v>
      </c>
      <c r="AU7" s="100">
        <v>911</v>
      </c>
      <c r="AV7" s="93">
        <v>2537</v>
      </c>
      <c r="AW7" s="101">
        <v>2540</v>
      </c>
      <c r="AX7" s="88">
        <v>738</v>
      </c>
      <c r="AY7" s="88">
        <v>696</v>
      </c>
      <c r="AZ7" s="88">
        <v>615</v>
      </c>
      <c r="BA7" s="100">
        <v>615</v>
      </c>
      <c r="BB7" s="100">
        <v>2041</v>
      </c>
      <c r="BC7" s="88">
        <v>435</v>
      </c>
      <c r="BD7" s="93">
        <v>2483</v>
      </c>
      <c r="BE7" s="372">
        <v>985</v>
      </c>
      <c r="BF7" s="88">
        <v>842</v>
      </c>
      <c r="BG7" s="88">
        <v>789</v>
      </c>
      <c r="BH7" s="88">
        <v>751</v>
      </c>
      <c r="BI7" s="88"/>
      <c r="BJ7" s="93">
        <v>3356</v>
      </c>
      <c r="BK7" s="93"/>
      <c r="BL7" s="88">
        <v>837</v>
      </c>
      <c r="BM7" s="88">
        <v>186</v>
      </c>
      <c r="BN7" s="88">
        <v>186</v>
      </c>
      <c r="BO7" s="88">
        <v>412</v>
      </c>
      <c r="BP7" s="88"/>
      <c r="BQ7" s="88">
        <v>659</v>
      </c>
      <c r="BR7" s="93">
        <v>2141</v>
      </c>
      <c r="BS7" s="88">
        <v>677</v>
      </c>
      <c r="BT7" s="88">
        <v>424</v>
      </c>
      <c r="BU7" s="88">
        <v>379</v>
      </c>
      <c r="BV7" s="88">
        <v>575</v>
      </c>
      <c r="BW7" s="473">
        <v>2051</v>
      </c>
    </row>
    <row r="8" spans="1:75" s="106" customFormat="1" ht="12.75" customHeight="1" hidden="1">
      <c r="A8" s="406" t="s">
        <v>62</v>
      </c>
      <c r="F8" s="106">
        <v>690.8760907504363</v>
      </c>
      <c r="K8" s="106">
        <v>524.5038759689922</v>
      </c>
      <c r="P8" s="106">
        <v>878.1996434937611</v>
      </c>
      <c r="U8" s="106">
        <v>1215.7403751233958</v>
      </c>
      <c r="V8" s="106">
        <v>415.16577540106954</v>
      </c>
      <c r="W8" s="106">
        <v>434.3116490166414</v>
      </c>
      <c r="X8" s="106">
        <v>420.5367793240557</v>
      </c>
      <c r="Y8" s="106">
        <v>506.728045325779</v>
      </c>
      <c r="Z8" s="106">
        <v>1781.156735102654</v>
      </c>
      <c r="AA8" s="106">
        <v>515.515122873346</v>
      </c>
      <c r="AB8" s="106">
        <v>524.566037735849</v>
      </c>
      <c r="AC8" s="106">
        <v>524</v>
      </c>
      <c r="AD8" s="106">
        <f t="shared" si="0"/>
        <v>579.918839390805</v>
      </c>
      <c r="AE8" s="106">
        <v>2144</v>
      </c>
      <c r="AF8" s="106">
        <v>580</v>
      </c>
      <c r="AG8" s="106">
        <v>679</v>
      </c>
      <c r="AH8" s="106">
        <v>682</v>
      </c>
      <c r="AI8" s="106">
        <v>778</v>
      </c>
      <c r="AJ8" s="106">
        <v>2707</v>
      </c>
      <c r="AK8" s="106">
        <v>799</v>
      </c>
      <c r="AL8" s="106">
        <v>737</v>
      </c>
      <c r="AM8" s="106">
        <v>737</v>
      </c>
      <c r="AN8" s="106">
        <v>498</v>
      </c>
      <c r="AO8" s="106">
        <v>2738</v>
      </c>
      <c r="AP8" s="106">
        <v>370</v>
      </c>
      <c r="AQ8" s="106">
        <v>386</v>
      </c>
      <c r="AR8" s="106">
        <v>573</v>
      </c>
      <c r="AS8" s="300">
        <v>1295</v>
      </c>
      <c r="AT8" s="106">
        <v>624</v>
      </c>
      <c r="AU8" s="300">
        <v>624</v>
      </c>
      <c r="AV8" s="106">
        <v>1919</v>
      </c>
      <c r="AW8" s="300">
        <v>1919</v>
      </c>
      <c r="AX8" s="106">
        <v>616</v>
      </c>
      <c r="AY8" s="106">
        <v>566</v>
      </c>
      <c r="AZ8" s="106">
        <v>670</v>
      </c>
      <c r="BA8" s="300">
        <v>670</v>
      </c>
      <c r="BB8" s="300">
        <v>1852</v>
      </c>
      <c r="BC8" s="106">
        <v>668</v>
      </c>
      <c r="BD8" s="106">
        <v>2519</v>
      </c>
      <c r="BE8" s="378"/>
      <c r="BF8" s="106">
        <v>0</v>
      </c>
      <c r="BG8" s="106">
        <v>0</v>
      </c>
      <c r="BM8" s="106">
        <v>0</v>
      </c>
      <c r="BO8" s="106">
        <v>0</v>
      </c>
      <c r="BU8" s="106">
        <v>0</v>
      </c>
      <c r="BV8" s="106">
        <v>0</v>
      </c>
      <c r="BW8" s="428">
        <v>0</v>
      </c>
    </row>
    <row r="9" spans="1:75" ht="12.75" customHeight="1">
      <c r="A9" s="124" t="s">
        <v>195</v>
      </c>
      <c r="B9" s="106"/>
      <c r="C9" s="106"/>
      <c r="D9" s="106"/>
      <c r="E9" s="106"/>
      <c r="F9" s="93">
        <v>151.70331588132635</v>
      </c>
      <c r="G9" s="106"/>
      <c r="H9" s="106"/>
      <c r="I9" s="106"/>
      <c r="J9" s="106"/>
      <c r="K9" s="93">
        <v>136.54263565891472</v>
      </c>
      <c r="L9" s="106"/>
      <c r="M9" s="106"/>
      <c r="N9" s="106"/>
      <c r="O9" s="106"/>
      <c r="P9" s="93">
        <v>111.67557932263814</v>
      </c>
      <c r="Q9" s="106"/>
      <c r="R9" s="106"/>
      <c r="S9" s="106"/>
      <c r="T9" s="106"/>
      <c r="U9" s="93">
        <v>459.06219151036527</v>
      </c>
      <c r="V9" s="88">
        <v>82.0909090909091</v>
      </c>
      <c r="W9" s="88">
        <v>100.98335854765506</v>
      </c>
      <c r="X9" s="88">
        <v>108.6182902584493</v>
      </c>
      <c r="Y9" s="88">
        <v>188.98961284230404</v>
      </c>
      <c r="Z9" s="93">
        <v>487.0205307961943</v>
      </c>
      <c r="AA9" s="88">
        <v>80.99243856332703</v>
      </c>
      <c r="AB9" s="88">
        <v>105.91509433962264</v>
      </c>
      <c r="AC9" s="88">
        <v>106</v>
      </c>
      <c r="AD9" s="88">
        <f t="shared" si="0"/>
        <v>196.0924670970503</v>
      </c>
      <c r="AE9" s="93">
        <v>489</v>
      </c>
      <c r="AF9" s="88">
        <v>80</v>
      </c>
      <c r="AG9" s="88">
        <v>118</v>
      </c>
      <c r="AH9" s="88">
        <v>125</v>
      </c>
      <c r="AI9" s="88">
        <v>241</v>
      </c>
      <c r="AJ9" s="93">
        <v>556</v>
      </c>
      <c r="AK9" s="88">
        <v>118</v>
      </c>
      <c r="AL9" s="88">
        <v>228</v>
      </c>
      <c r="AM9" s="88">
        <v>254</v>
      </c>
      <c r="AN9" s="88">
        <v>260</v>
      </c>
      <c r="AO9" s="93">
        <v>865</v>
      </c>
      <c r="AP9" s="88">
        <v>152</v>
      </c>
      <c r="AQ9" s="88">
        <v>186</v>
      </c>
      <c r="AR9" s="88">
        <v>185</v>
      </c>
      <c r="AS9" s="100">
        <v>508</v>
      </c>
      <c r="AT9" s="88">
        <v>311</v>
      </c>
      <c r="AU9" s="100">
        <v>306</v>
      </c>
      <c r="AV9" s="93">
        <v>819</v>
      </c>
      <c r="AW9" s="101">
        <v>814</v>
      </c>
      <c r="AX9" s="88">
        <v>143</v>
      </c>
      <c r="AY9" s="88">
        <v>220</v>
      </c>
      <c r="AZ9" s="88">
        <v>193</v>
      </c>
      <c r="BA9" s="100">
        <v>193</v>
      </c>
      <c r="BB9" s="100">
        <v>561</v>
      </c>
      <c r="BC9" s="88">
        <v>223</v>
      </c>
      <c r="BD9" s="93">
        <v>782</v>
      </c>
      <c r="BE9" s="372">
        <v>143</v>
      </c>
      <c r="BF9" s="88">
        <v>220</v>
      </c>
      <c r="BG9" s="88">
        <v>194</v>
      </c>
      <c r="BH9" s="88">
        <v>230</v>
      </c>
      <c r="BI9" s="88"/>
      <c r="BJ9" s="93">
        <v>790</v>
      </c>
      <c r="BK9" s="93"/>
      <c r="BL9" s="88">
        <v>174</v>
      </c>
      <c r="BM9" s="88">
        <v>195</v>
      </c>
      <c r="BN9" s="88">
        <v>195</v>
      </c>
      <c r="BO9" s="88">
        <v>206</v>
      </c>
      <c r="BP9" s="88"/>
      <c r="BQ9" s="88">
        <v>240</v>
      </c>
      <c r="BR9" s="93">
        <v>821</v>
      </c>
      <c r="BS9" s="88">
        <v>132</v>
      </c>
      <c r="BT9" s="88">
        <v>196</v>
      </c>
      <c r="BU9" s="88">
        <v>192</v>
      </c>
      <c r="BV9" s="88">
        <v>180</v>
      </c>
      <c r="BW9" s="473">
        <v>702</v>
      </c>
    </row>
    <row r="10" spans="1:75" s="116" customFormat="1" ht="12.75" customHeight="1">
      <c r="A10" s="95" t="s">
        <v>196</v>
      </c>
      <c r="B10" s="108"/>
      <c r="C10" s="108"/>
      <c r="D10" s="108"/>
      <c r="E10" s="108"/>
      <c r="F10" s="97">
        <v>5730.181500872601</v>
      </c>
      <c r="G10" s="108"/>
      <c r="H10" s="108"/>
      <c r="I10" s="108"/>
      <c r="J10" s="108"/>
      <c r="K10" s="97">
        <v>5443.294573643411</v>
      </c>
      <c r="L10" s="108"/>
      <c r="M10" s="108"/>
      <c r="N10" s="108"/>
      <c r="O10" s="108"/>
      <c r="P10" s="97">
        <v>8115.289661319073</v>
      </c>
      <c r="Q10" s="108"/>
      <c r="R10" s="108"/>
      <c r="S10" s="108"/>
      <c r="T10" s="108"/>
      <c r="U10" s="97">
        <v>12026.52023692004</v>
      </c>
      <c r="V10" s="96">
        <v>3807.085561497326</v>
      </c>
      <c r="W10" s="96">
        <v>3560.353000504286</v>
      </c>
      <c r="X10" s="96">
        <v>3837.9622266401593</v>
      </c>
      <c r="Y10" s="96">
        <v>4633.833805476865</v>
      </c>
      <c r="Z10" s="97">
        <v>15881.757636454684</v>
      </c>
      <c r="AA10" s="96">
        <v>4815.874291115311</v>
      </c>
      <c r="AB10" s="96">
        <v>4174</v>
      </c>
      <c r="AC10" s="96">
        <v>4334</v>
      </c>
      <c r="AD10" s="96">
        <f t="shared" si="0"/>
        <v>3984.1257088846887</v>
      </c>
      <c r="AE10" s="97">
        <v>17308</v>
      </c>
      <c r="AF10" s="96">
        <v>3432</v>
      </c>
      <c r="AG10" s="96">
        <v>4231</v>
      </c>
      <c r="AH10" s="96">
        <v>4685</v>
      </c>
      <c r="AI10" s="96">
        <v>5821</v>
      </c>
      <c r="AJ10" s="97">
        <v>18039</v>
      </c>
      <c r="AK10" s="96">
        <v>5811</v>
      </c>
      <c r="AL10" s="96">
        <v>7209</v>
      </c>
      <c r="AM10" s="96">
        <v>7666</v>
      </c>
      <c r="AN10" s="96">
        <v>5205</v>
      </c>
      <c r="AO10" s="97">
        <v>25568</v>
      </c>
      <c r="AP10" s="96">
        <v>3627</v>
      </c>
      <c r="AQ10" s="96">
        <v>4027</v>
      </c>
      <c r="AR10" s="96">
        <v>6770</v>
      </c>
      <c r="AS10" s="294">
        <v>13973</v>
      </c>
      <c r="AT10" s="96">
        <v>7113</v>
      </c>
      <c r="AU10" s="294">
        <v>7171</v>
      </c>
      <c r="AV10" s="97">
        <v>21042</v>
      </c>
      <c r="AW10" s="291">
        <v>21144</v>
      </c>
      <c r="AX10" s="96">
        <v>6097</v>
      </c>
      <c r="AY10" s="96">
        <v>6412</v>
      </c>
      <c r="AZ10" s="96">
        <v>7040</v>
      </c>
      <c r="BA10" s="294">
        <v>7076</v>
      </c>
      <c r="BB10" s="294">
        <v>19699</v>
      </c>
      <c r="BC10" s="96">
        <v>7286</v>
      </c>
      <c r="BD10" s="97">
        <v>26971</v>
      </c>
      <c r="BE10" s="373">
        <v>6354</v>
      </c>
      <c r="BF10" s="96">
        <v>6552</v>
      </c>
      <c r="BG10" s="96">
        <v>7212</v>
      </c>
      <c r="BH10" s="96">
        <v>7370</v>
      </c>
      <c r="BI10" s="96"/>
      <c r="BJ10" s="97">
        <v>27506</v>
      </c>
      <c r="BK10" s="97"/>
      <c r="BL10" s="96">
        <v>6850</v>
      </c>
      <c r="BM10" s="96">
        <v>7934</v>
      </c>
      <c r="BN10" s="96">
        <v>7563</v>
      </c>
      <c r="BO10" s="96">
        <v>8002</v>
      </c>
      <c r="BP10" s="96"/>
      <c r="BQ10" s="96">
        <v>7474</v>
      </c>
      <c r="BR10" s="97">
        <v>29640</v>
      </c>
      <c r="BS10" s="96">
        <v>6730</v>
      </c>
      <c r="BT10" s="96">
        <v>6513</v>
      </c>
      <c r="BU10" s="96">
        <v>7040</v>
      </c>
      <c r="BV10" s="96">
        <v>7334</v>
      </c>
      <c r="BW10" s="474">
        <v>27581</v>
      </c>
    </row>
    <row r="11" spans="1:75" s="116" customFormat="1" ht="12.75" customHeight="1">
      <c r="A11" s="95" t="s">
        <v>197</v>
      </c>
      <c r="B11" s="108"/>
      <c r="C11" s="108"/>
      <c r="D11" s="108"/>
      <c r="E11" s="108"/>
      <c r="F11" s="97">
        <v>-1629.766143106457</v>
      </c>
      <c r="G11" s="108"/>
      <c r="H11" s="108"/>
      <c r="I11" s="108"/>
      <c r="J11" s="108"/>
      <c r="K11" s="97">
        <v>-948.5</v>
      </c>
      <c r="L11" s="108"/>
      <c r="M11" s="108"/>
      <c r="N11" s="108"/>
      <c r="O11" s="108"/>
      <c r="P11" s="97">
        <v>-1412.80303030303</v>
      </c>
      <c r="Q11" s="108"/>
      <c r="R11" s="108"/>
      <c r="S11" s="108"/>
      <c r="T11" s="108"/>
      <c r="U11" s="97">
        <v>-2372.86771964462</v>
      </c>
      <c r="V11" s="96">
        <v>-752.3850267379679</v>
      </c>
      <c r="W11" s="96">
        <v>-811.7196167423097</v>
      </c>
      <c r="X11" s="96">
        <v>-926.6351888667992</v>
      </c>
      <c r="Y11" s="96">
        <v>-1078.0169971671387</v>
      </c>
      <c r="Z11" s="97">
        <v>-3587.4962443665495</v>
      </c>
      <c r="AA11" s="96">
        <v>-1042</v>
      </c>
      <c r="AB11" s="96">
        <v>-863</v>
      </c>
      <c r="AC11" s="96">
        <v>-807</v>
      </c>
      <c r="AD11" s="96">
        <f t="shared" si="0"/>
        <v>-862</v>
      </c>
      <c r="AE11" s="97">
        <v>-3574</v>
      </c>
      <c r="AF11" s="96">
        <v>-755</v>
      </c>
      <c r="AG11" s="96">
        <v>-940</v>
      </c>
      <c r="AH11" s="96">
        <v>-947</v>
      </c>
      <c r="AI11" s="96">
        <v>-1314</v>
      </c>
      <c r="AJ11" s="97">
        <v>-3927</v>
      </c>
      <c r="AK11" s="96">
        <v>-1274</v>
      </c>
      <c r="AL11" s="96">
        <v>-1405</v>
      </c>
      <c r="AM11" s="96">
        <v>-1454</v>
      </c>
      <c r="AN11" s="96">
        <v>-931</v>
      </c>
      <c r="AO11" s="97">
        <v>-4992</v>
      </c>
      <c r="AP11" s="96">
        <v>-833</v>
      </c>
      <c r="AQ11" s="96">
        <v>-704</v>
      </c>
      <c r="AR11" s="96">
        <v>-1912</v>
      </c>
      <c r="AS11" s="294">
        <v>-3293</v>
      </c>
      <c r="AT11" s="96">
        <v>-1766</v>
      </c>
      <c r="AU11" s="294">
        <v>-1763</v>
      </c>
      <c r="AV11" s="97">
        <v>-5058</v>
      </c>
      <c r="AW11" s="291">
        <v>-5056</v>
      </c>
      <c r="AX11" s="96">
        <v>-1637</v>
      </c>
      <c r="AY11" s="96">
        <v>-1561</v>
      </c>
      <c r="AZ11" s="96">
        <v>-1636</v>
      </c>
      <c r="BA11" s="294">
        <v>-1635</v>
      </c>
      <c r="BB11" s="294">
        <v>-4829</v>
      </c>
      <c r="BC11" s="96">
        <v>-1490</v>
      </c>
      <c r="BD11" s="97">
        <v>-6322</v>
      </c>
      <c r="BE11" s="373">
        <v>-1842</v>
      </c>
      <c r="BF11" s="96">
        <v>-1675</v>
      </c>
      <c r="BG11" s="96">
        <v>-1771</v>
      </c>
      <c r="BH11" s="96">
        <v>-1566</v>
      </c>
      <c r="BI11" s="96"/>
      <c r="BJ11" s="97">
        <v>-6849</v>
      </c>
      <c r="BK11" s="97"/>
      <c r="BL11" s="96">
        <v>-945</v>
      </c>
      <c r="BM11" s="96">
        <v>-914</v>
      </c>
      <c r="BN11" s="96">
        <v>-543</v>
      </c>
      <c r="BO11" s="96">
        <v>-923</v>
      </c>
      <c r="BP11" s="96"/>
      <c r="BQ11" s="96">
        <v>-870</v>
      </c>
      <c r="BR11" s="97">
        <v>-3044</v>
      </c>
      <c r="BS11" s="96">
        <v>-777</v>
      </c>
      <c r="BT11" s="96">
        <v>-768</v>
      </c>
      <c r="BU11" s="96">
        <v>-714</v>
      </c>
      <c r="BV11" s="96">
        <v>-801</v>
      </c>
      <c r="BW11" s="474">
        <v>-3060</v>
      </c>
    </row>
    <row r="12" spans="1:75" s="106" customFormat="1" ht="12.75" customHeight="1">
      <c r="A12" s="498" t="s">
        <v>533</v>
      </c>
      <c r="F12" s="106">
        <v>-556.5235602094241</v>
      </c>
      <c r="K12" s="106">
        <v>-478.8062015503876</v>
      </c>
      <c r="P12" s="106">
        <v>-629.0998217468806</v>
      </c>
      <c r="U12" s="106">
        <v>-830.1727541954591</v>
      </c>
      <c r="V12" s="330">
        <v>-286.5668449197861</v>
      </c>
      <c r="W12" s="330">
        <v>-281.78517397881996</v>
      </c>
      <c r="X12" s="330">
        <v>-351.148111332008</v>
      </c>
      <c r="Y12" s="330">
        <v>-371.71860245514637</v>
      </c>
      <c r="Z12" s="106">
        <v>-1296.179268903355</v>
      </c>
      <c r="AA12" s="330">
        <v>-430.70888468809073</v>
      </c>
      <c r="AB12" s="330">
        <v>-216.86320754716982</v>
      </c>
      <c r="AC12" s="330">
        <v>-232</v>
      </c>
      <c r="AD12" s="330">
        <f t="shared" si="0"/>
        <v>-200.42790776473942</v>
      </c>
      <c r="AE12" s="106">
        <v>-1080</v>
      </c>
      <c r="AF12" s="330">
        <v>-178</v>
      </c>
      <c r="AG12" s="330">
        <v>-201</v>
      </c>
      <c r="AH12" s="330">
        <v>-218</v>
      </c>
      <c r="AI12" s="330">
        <v>-257</v>
      </c>
      <c r="AJ12" s="106">
        <v>-849</v>
      </c>
      <c r="AK12" s="330">
        <v>-280</v>
      </c>
      <c r="AL12" s="330">
        <v>-353</v>
      </c>
      <c r="AM12" s="330">
        <v>-296</v>
      </c>
      <c r="AN12" s="330">
        <v>-203</v>
      </c>
      <c r="AO12" s="106">
        <v>-1115</v>
      </c>
      <c r="AP12" s="330">
        <v>-205</v>
      </c>
      <c r="AQ12" s="330">
        <v>-113</v>
      </c>
      <c r="AR12" s="330">
        <v>-283</v>
      </c>
      <c r="AS12" s="497">
        <v>-579</v>
      </c>
      <c r="AT12" s="330">
        <v>-352</v>
      </c>
      <c r="AU12" s="497">
        <v>-351</v>
      </c>
      <c r="AV12" s="106">
        <v>-931</v>
      </c>
      <c r="AW12" s="300">
        <v>-930</v>
      </c>
      <c r="AX12" s="330">
        <v>-287</v>
      </c>
      <c r="AY12" s="330">
        <v>-299</v>
      </c>
      <c r="AZ12" s="330">
        <v>-283</v>
      </c>
      <c r="BA12" s="497">
        <v>-283</v>
      </c>
      <c r="BB12" s="497">
        <v>-869</v>
      </c>
      <c r="BC12" s="330">
        <v>-352</v>
      </c>
      <c r="BD12" s="106">
        <v>-1220</v>
      </c>
      <c r="BE12" s="380">
        <v>-287</v>
      </c>
      <c r="BF12" s="330">
        <v>-452</v>
      </c>
      <c r="BG12" s="330">
        <v>-438</v>
      </c>
      <c r="BH12" s="330">
        <v>-352</v>
      </c>
      <c r="BI12" s="330"/>
      <c r="BJ12" s="106">
        <v>-1220</v>
      </c>
      <c r="BL12" s="330">
        <v>-533</v>
      </c>
      <c r="BM12" s="330">
        <v>-551</v>
      </c>
      <c r="BN12" s="330">
        <v>-551</v>
      </c>
      <c r="BO12" s="330">
        <v>-442</v>
      </c>
      <c r="BP12" s="330"/>
      <c r="BQ12" s="330">
        <v>-632</v>
      </c>
      <c r="BR12" s="106">
        <v>-2173</v>
      </c>
      <c r="BS12" s="330">
        <v>-603</v>
      </c>
      <c r="BT12" s="330">
        <v>-559</v>
      </c>
      <c r="BU12" s="330">
        <v>-524</v>
      </c>
      <c r="BV12" s="330">
        <v>-575</v>
      </c>
      <c r="BW12" s="428">
        <v>-2259</v>
      </c>
    </row>
    <row r="13" spans="1:75" s="106" customFormat="1" ht="12.75" customHeight="1">
      <c r="A13" s="498" t="s">
        <v>534</v>
      </c>
      <c r="F13" s="106">
        <v>-731.1553228621292</v>
      </c>
      <c r="K13" s="106">
        <v>-291.7829457364341</v>
      </c>
      <c r="P13" s="106">
        <v>-524.7014260249554</v>
      </c>
      <c r="U13" s="106">
        <v>-811.2142152023692</v>
      </c>
      <c r="V13" s="330">
        <v>-276.8288770053476</v>
      </c>
      <c r="W13" s="330">
        <v>-307.89712556732223</v>
      </c>
      <c r="X13" s="330">
        <v>-357.0427435387674</v>
      </c>
      <c r="Y13" s="330">
        <v>-390.9442870632672</v>
      </c>
      <c r="Z13" s="106">
        <v>-1339.3189784677015</v>
      </c>
      <c r="AA13" s="330">
        <v>-388.51606805293005</v>
      </c>
      <c r="AB13" s="330">
        <v>-426.07547169811323</v>
      </c>
      <c r="AC13" s="330">
        <v>-362</v>
      </c>
      <c r="AD13" s="330">
        <f t="shared" si="0"/>
        <v>-364.4084602489567</v>
      </c>
      <c r="AE13" s="106">
        <v>-1541</v>
      </c>
      <c r="AF13" s="330">
        <v>-393</v>
      </c>
      <c r="AG13" s="330">
        <v>-485</v>
      </c>
      <c r="AH13" s="330">
        <v>-479</v>
      </c>
      <c r="AI13" s="330">
        <v>-603</v>
      </c>
      <c r="AJ13" s="106">
        <v>-1948</v>
      </c>
      <c r="AK13" s="330">
        <v>-650</v>
      </c>
      <c r="AL13" s="330">
        <v>-615</v>
      </c>
      <c r="AM13" s="330">
        <v>-644</v>
      </c>
      <c r="AN13" s="330">
        <v>-330</v>
      </c>
      <c r="AO13" s="106">
        <v>-2195</v>
      </c>
      <c r="AP13" s="330">
        <v>-311</v>
      </c>
      <c r="AQ13" s="330">
        <v>-291</v>
      </c>
      <c r="AR13" s="330">
        <v>-484</v>
      </c>
      <c r="AS13" s="497">
        <v>-1054</v>
      </c>
      <c r="AT13" s="330">
        <v>-550</v>
      </c>
      <c r="AU13" s="497">
        <v>-550</v>
      </c>
      <c r="AV13" s="106">
        <v>-1603</v>
      </c>
      <c r="AW13" s="300">
        <v>-1604</v>
      </c>
      <c r="AX13" s="330">
        <v>-588</v>
      </c>
      <c r="AY13" s="330">
        <v>-517</v>
      </c>
      <c r="AZ13" s="330">
        <v>-584</v>
      </c>
      <c r="BA13" s="497">
        <v>-584</v>
      </c>
      <c r="BB13" s="497">
        <v>-1686</v>
      </c>
      <c r="BC13" s="330">
        <v>-602</v>
      </c>
      <c r="BD13" s="106">
        <v>-2287</v>
      </c>
      <c r="BE13" s="380">
        <v>-761</v>
      </c>
      <c r="BF13" s="330">
        <v>-656</v>
      </c>
      <c r="BG13" s="330">
        <v>-736</v>
      </c>
      <c r="BH13" s="330">
        <v>-692</v>
      </c>
      <c r="BI13" s="330"/>
      <c r="BJ13" s="106">
        <v>-2841</v>
      </c>
      <c r="BL13" s="330">
        <v>-50</v>
      </c>
      <c r="BM13" s="330">
        <v>-354</v>
      </c>
      <c r="BN13" s="330">
        <v>17</v>
      </c>
      <c r="BO13" s="330">
        <v>-299</v>
      </c>
      <c r="BP13" s="330"/>
      <c r="BQ13" s="330">
        <v>-21</v>
      </c>
      <c r="BR13" s="106">
        <v>-82</v>
      </c>
      <c r="BS13" s="330">
        <v>-20</v>
      </c>
      <c r="BT13" s="330">
        <v>-19</v>
      </c>
      <c r="BU13" s="330">
        <v>-19</v>
      </c>
      <c r="BV13" s="330">
        <v>-23</v>
      </c>
      <c r="BW13" s="428">
        <v>-81</v>
      </c>
    </row>
    <row r="14" spans="1:75" s="106" customFormat="1" ht="12.75" customHeight="1">
      <c r="A14" s="498" t="s">
        <v>535</v>
      </c>
      <c r="F14" s="106">
        <v>-86.80279232111693</v>
      </c>
      <c r="K14" s="106">
        <v>-69.75581395348837</v>
      </c>
      <c r="P14" s="106">
        <v>-39.848484848484844</v>
      </c>
      <c r="U14" s="106">
        <v>-53.97334649555775</v>
      </c>
      <c r="V14" s="330">
        <v>-22.155080213903744</v>
      </c>
      <c r="W14" s="330">
        <v>-25.35552193645991</v>
      </c>
      <c r="X14" s="330">
        <v>-23.628230616302186</v>
      </c>
      <c r="Y14" s="330">
        <v>-30.71293673276676</v>
      </c>
      <c r="Z14" s="106">
        <v>-102.30345518277417</v>
      </c>
      <c r="AA14" s="330">
        <v>-36.79584120982987</v>
      </c>
      <c r="AB14" s="330">
        <v>-1.7122641509433962</v>
      </c>
      <c r="AC14" s="330">
        <v>0</v>
      </c>
      <c r="AD14" s="330">
        <f t="shared" si="0"/>
        <v>-0.4918946392267358</v>
      </c>
      <c r="AE14" s="106">
        <v>-39</v>
      </c>
      <c r="AF14" s="330" t="s">
        <v>294</v>
      </c>
      <c r="AG14" s="330">
        <v>0</v>
      </c>
      <c r="AH14" s="330">
        <v>0</v>
      </c>
      <c r="AI14" s="330">
        <v>-70</v>
      </c>
      <c r="AJ14" s="106">
        <v>-68</v>
      </c>
      <c r="AK14" s="330">
        <v>-50</v>
      </c>
      <c r="AL14" s="330">
        <v>-54</v>
      </c>
      <c r="AM14" s="330">
        <v>-110</v>
      </c>
      <c r="AN14" s="330">
        <v>-95</v>
      </c>
      <c r="AO14" s="106">
        <v>-311</v>
      </c>
      <c r="AP14" s="330">
        <v>-82</v>
      </c>
      <c r="AQ14" s="330">
        <v>-61</v>
      </c>
      <c r="AR14" s="330">
        <v>-850</v>
      </c>
      <c r="AS14" s="497">
        <v>-909</v>
      </c>
      <c r="AT14" s="330">
        <v>-463</v>
      </c>
      <c r="AU14" s="497">
        <v>-463</v>
      </c>
      <c r="AV14" s="106">
        <v>-1372</v>
      </c>
      <c r="AW14" s="300">
        <v>-1372</v>
      </c>
      <c r="AX14" s="330">
        <v>-481</v>
      </c>
      <c r="AY14" s="330">
        <v>-412</v>
      </c>
      <c r="AZ14" s="330">
        <v>-457</v>
      </c>
      <c r="BA14" s="497">
        <v>-457</v>
      </c>
      <c r="BB14" s="497">
        <v>-1346</v>
      </c>
      <c r="BC14" s="330">
        <v>-219</v>
      </c>
      <c r="BD14" s="106">
        <v>-1571</v>
      </c>
      <c r="BE14" s="380">
        <v>-678</v>
      </c>
      <c r="BF14" s="330">
        <v>-382</v>
      </c>
      <c r="BG14" s="330">
        <v>-442</v>
      </c>
      <c r="BH14" s="330">
        <v>-350</v>
      </c>
      <c r="BI14" s="330"/>
      <c r="BJ14" s="106">
        <v>-2157</v>
      </c>
      <c r="BL14" s="330">
        <v>-217</v>
      </c>
      <c r="BM14" s="330">
        <v>138</v>
      </c>
      <c r="BN14" s="330">
        <v>138</v>
      </c>
      <c r="BO14" s="330">
        <v>-33</v>
      </c>
      <c r="BP14" s="330"/>
      <c r="BQ14" s="330">
        <v>-37</v>
      </c>
      <c r="BR14" s="106">
        <v>-162</v>
      </c>
      <c r="BS14" s="330">
        <v>-60</v>
      </c>
      <c r="BT14" s="330">
        <v>-41</v>
      </c>
      <c r="BU14" s="330">
        <v>-35</v>
      </c>
      <c r="BV14" s="330">
        <v>-44</v>
      </c>
      <c r="BW14" s="428">
        <v>-179</v>
      </c>
    </row>
    <row r="15" spans="1:75" s="106" customFormat="1" ht="12.75" customHeight="1" hidden="1">
      <c r="A15" s="498" t="s">
        <v>201</v>
      </c>
      <c r="F15" s="106">
        <v>-205.21815008726003</v>
      </c>
      <c r="K15" s="106">
        <v>-47.70542635658915</v>
      </c>
      <c r="P15" s="106">
        <v>-125.05347593582887</v>
      </c>
      <c r="U15" s="106">
        <v>-240.72063178677197</v>
      </c>
      <c r="V15" s="106">
        <v>-91.88770053475936</v>
      </c>
      <c r="W15" s="106">
        <v>-99.34947049924357</v>
      </c>
      <c r="X15" s="106">
        <v>-98.11630218687873</v>
      </c>
      <c r="Y15" s="106">
        <v>-109.11709159584512</v>
      </c>
      <c r="Z15" s="106">
        <v>-399.27891837756636</v>
      </c>
      <c r="AA15" s="106">
        <v>-111.19565217391305</v>
      </c>
      <c r="AB15" s="106">
        <v>-116.03301886792453</v>
      </c>
      <c r="AC15" s="106">
        <v>-112</v>
      </c>
      <c r="AD15" s="106">
        <f t="shared" si="0"/>
        <v>-113.77132895816244</v>
      </c>
      <c r="AE15" s="106">
        <v>-453</v>
      </c>
      <c r="AF15" s="106">
        <v>-114</v>
      </c>
      <c r="AG15" s="106">
        <v>-144</v>
      </c>
      <c r="AH15" s="106">
        <v>-135</v>
      </c>
      <c r="AI15" s="106">
        <v>-150</v>
      </c>
      <c r="AJ15" s="106">
        <v>-541</v>
      </c>
      <c r="AK15" s="106">
        <v>-183</v>
      </c>
      <c r="AL15" s="106">
        <v>-164</v>
      </c>
      <c r="AM15" s="106">
        <v>-174</v>
      </c>
      <c r="AN15" s="106">
        <v>-97</v>
      </c>
      <c r="AO15" s="106">
        <v>-607</v>
      </c>
      <c r="AP15" s="106">
        <v>-93</v>
      </c>
      <c r="AQ15" s="106">
        <v>-95</v>
      </c>
      <c r="AR15" s="106">
        <v>-152</v>
      </c>
      <c r="AS15" s="300">
        <v>-330</v>
      </c>
      <c r="AT15" s="106">
        <v>-160</v>
      </c>
      <c r="AU15" s="300">
        <v>-160</v>
      </c>
      <c r="AV15" s="106">
        <v>-490</v>
      </c>
      <c r="AW15" s="300">
        <v>-490</v>
      </c>
      <c r="AX15" s="106">
        <v>-166</v>
      </c>
      <c r="AY15" s="106">
        <v>-94</v>
      </c>
      <c r="AZ15" s="106">
        <v>-208</v>
      </c>
      <c r="BA15" s="300">
        <v>-208</v>
      </c>
      <c r="BB15" s="300">
        <v>-468</v>
      </c>
      <c r="BC15" s="106">
        <v>-150</v>
      </c>
      <c r="BD15" s="106">
        <v>-618</v>
      </c>
      <c r="BE15" s="378">
        <v>0</v>
      </c>
      <c r="BF15" s="106">
        <v>0</v>
      </c>
      <c r="BG15" s="106">
        <v>0</v>
      </c>
      <c r="BH15" s="106">
        <v>0</v>
      </c>
      <c r="BJ15" s="106">
        <v>0</v>
      </c>
      <c r="BM15" s="106">
        <v>0</v>
      </c>
      <c r="BO15" s="106">
        <v>0</v>
      </c>
      <c r="BU15" s="106">
        <v>0</v>
      </c>
      <c r="BV15" s="106">
        <v>0</v>
      </c>
      <c r="BW15" s="428">
        <v>0</v>
      </c>
    </row>
    <row r="16" spans="1:75" s="106" customFormat="1" ht="12.75" customHeight="1">
      <c r="A16" s="498" t="s">
        <v>202</v>
      </c>
      <c r="F16" s="106">
        <v>-50.06631762652705</v>
      </c>
      <c r="K16" s="106">
        <v>-60.44961240310077</v>
      </c>
      <c r="P16" s="106">
        <v>-94.09982174688056</v>
      </c>
      <c r="U16" s="106">
        <v>-436.786771964462</v>
      </c>
      <c r="V16" s="330">
        <v>-74.94652406417113</v>
      </c>
      <c r="W16" s="330">
        <v>-97.33232476046393</v>
      </c>
      <c r="X16" s="330">
        <v>-96.69980119284295</v>
      </c>
      <c r="Y16" s="330">
        <v>-175.52407932011332</v>
      </c>
      <c r="Z16" s="106">
        <v>-450.4156234351528</v>
      </c>
      <c r="AA16" s="330">
        <v>-74.2296786389414</v>
      </c>
      <c r="AB16" s="330">
        <v>-101.79245283018868</v>
      </c>
      <c r="AC16" s="330">
        <v>-101</v>
      </c>
      <c r="AD16" s="330">
        <f t="shared" si="0"/>
        <v>-183.97786853086996</v>
      </c>
      <c r="AE16" s="106">
        <v>-461</v>
      </c>
      <c r="AF16" s="330">
        <v>-70</v>
      </c>
      <c r="AG16" s="330">
        <v>-110</v>
      </c>
      <c r="AH16" s="330">
        <v>-115</v>
      </c>
      <c r="AI16" s="330">
        <v>-234</v>
      </c>
      <c r="AJ16" s="106">
        <v>-521</v>
      </c>
      <c r="AK16" s="330">
        <v>-111</v>
      </c>
      <c r="AL16" s="330">
        <v>-219</v>
      </c>
      <c r="AM16" s="330">
        <v>-230</v>
      </c>
      <c r="AN16" s="330">
        <v>-206</v>
      </c>
      <c r="AO16" s="106">
        <v>-764</v>
      </c>
      <c r="AP16" s="330">
        <v>-142</v>
      </c>
      <c r="AQ16" s="330">
        <v>-144</v>
      </c>
      <c r="AR16" s="330">
        <v>-143</v>
      </c>
      <c r="AS16" s="497">
        <v>-421</v>
      </c>
      <c r="AT16" s="330">
        <v>-241</v>
      </c>
      <c r="AU16" s="497">
        <v>-239</v>
      </c>
      <c r="AV16" s="106">
        <v>-662</v>
      </c>
      <c r="AW16" s="300">
        <v>-660</v>
      </c>
      <c r="AX16" s="330">
        <v>-115</v>
      </c>
      <c r="AY16" s="330">
        <v>-239</v>
      </c>
      <c r="AZ16" s="330">
        <v>-104</v>
      </c>
      <c r="BA16" s="497">
        <v>-103</v>
      </c>
      <c r="BB16" s="497">
        <v>-460</v>
      </c>
      <c r="BC16" s="330">
        <v>-167</v>
      </c>
      <c r="BD16" s="106">
        <v>-626</v>
      </c>
      <c r="BE16" s="380">
        <v>-116</v>
      </c>
      <c r="BF16" s="330">
        <v>-185</v>
      </c>
      <c r="BG16" s="330">
        <v>-155</v>
      </c>
      <c r="BH16" s="330">
        <v>-172</v>
      </c>
      <c r="BI16" s="330"/>
      <c r="BJ16" s="106">
        <v>-631</v>
      </c>
      <c r="BL16" s="330">
        <v>-145</v>
      </c>
      <c r="BM16" s="330">
        <v>-147</v>
      </c>
      <c r="BN16" s="330">
        <v>-147</v>
      </c>
      <c r="BO16" s="330">
        <v>-149</v>
      </c>
      <c r="BP16" s="330"/>
      <c r="BQ16" s="330">
        <v>-180</v>
      </c>
      <c r="BR16" s="106">
        <v>-627</v>
      </c>
      <c r="BS16" s="330">
        <v>-94</v>
      </c>
      <c r="BT16" s="330">
        <v>-149</v>
      </c>
      <c r="BU16" s="330">
        <v>-136</v>
      </c>
      <c r="BV16" s="330">
        <v>-159</v>
      </c>
      <c r="BW16" s="428">
        <v>-541</v>
      </c>
    </row>
    <row r="17" spans="1:74" s="108" customFormat="1" ht="12.75" customHeight="1">
      <c r="A17" s="409" t="s">
        <v>423</v>
      </c>
      <c r="F17" s="108">
        <v>4100.415357766144</v>
      </c>
      <c r="K17" s="108">
        <v>4494.794573643411</v>
      </c>
      <c r="P17" s="108">
        <v>6702.486631016043</v>
      </c>
      <c r="U17" s="108">
        <v>9653.652517275419</v>
      </c>
      <c r="V17" s="408">
        <v>3054.700534759358</v>
      </c>
      <c r="W17" s="408">
        <v>2748.633383761976</v>
      </c>
      <c r="X17" s="408">
        <v>2911.32703777336</v>
      </c>
      <c r="Y17" s="408">
        <v>3555.816808309726</v>
      </c>
      <c r="Z17" s="108">
        <v>12294.261392088134</v>
      </c>
      <c r="AA17" s="408">
        <v>3774.4281663516063</v>
      </c>
      <c r="AB17" s="408">
        <v>3311</v>
      </c>
      <c r="AC17" s="408">
        <v>3527</v>
      </c>
      <c r="AD17" s="408">
        <f t="shared" si="0"/>
        <v>3121.5718336483937</v>
      </c>
      <c r="AE17" s="108">
        <v>13734</v>
      </c>
      <c r="AF17" s="408">
        <v>2677</v>
      </c>
      <c r="AG17" s="408">
        <v>3291</v>
      </c>
      <c r="AH17" s="408">
        <v>3738</v>
      </c>
      <c r="AI17" s="408">
        <v>4507</v>
      </c>
      <c r="AJ17" s="108">
        <v>14112</v>
      </c>
      <c r="AK17" s="408">
        <v>4537</v>
      </c>
      <c r="AL17" s="408">
        <v>5804</v>
      </c>
      <c r="AM17" s="408">
        <v>6212</v>
      </c>
      <c r="AN17" s="408">
        <v>4274</v>
      </c>
      <c r="AO17" s="108">
        <v>20576</v>
      </c>
      <c r="AP17" s="408">
        <v>2794</v>
      </c>
      <c r="AQ17" s="408">
        <v>3323</v>
      </c>
      <c r="AR17" s="408">
        <v>4858</v>
      </c>
      <c r="AS17" s="410">
        <v>0</v>
      </c>
      <c r="AT17" s="408">
        <v>5347</v>
      </c>
      <c r="AU17" s="410"/>
      <c r="AV17" s="108">
        <v>15984</v>
      </c>
      <c r="AW17" s="308"/>
      <c r="AX17" s="408">
        <v>4460</v>
      </c>
      <c r="AY17" s="408">
        <v>4851</v>
      </c>
      <c r="AZ17" s="408">
        <v>5404</v>
      </c>
      <c r="BA17" s="410"/>
      <c r="BB17" s="410">
        <v>14870</v>
      </c>
      <c r="BC17" s="408"/>
      <c r="BE17" s="407"/>
      <c r="BF17" s="408"/>
      <c r="BG17" s="408"/>
      <c r="BH17" s="408"/>
      <c r="BI17" s="408"/>
      <c r="BL17" s="408"/>
      <c r="BM17" s="408"/>
      <c r="BN17" s="408"/>
      <c r="BO17" s="408"/>
      <c r="BP17" s="408"/>
      <c r="BQ17" s="408"/>
      <c r="BS17" s="408"/>
      <c r="BT17" s="408"/>
      <c r="BU17" s="408"/>
      <c r="BV17" s="408"/>
    </row>
    <row r="18" spans="1:74" s="108" customFormat="1" ht="12.75" customHeight="1">
      <c r="A18" s="406" t="s">
        <v>437</v>
      </c>
      <c r="V18" s="408"/>
      <c r="W18" s="408"/>
      <c r="X18" s="408"/>
      <c r="Y18" s="408"/>
      <c r="AA18" s="408"/>
      <c r="AB18" s="408"/>
      <c r="AC18" s="408"/>
      <c r="AD18" s="408"/>
      <c r="AF18" s="408"/>
      <c r="AG18" s="408"/>
      <c r="AH18" s="408"/>
      <c r="AI18" s="408"/>
      <c r="AK18" s="408"/>
      <c r="AL18" s="408"/>
      <c r="AM18" s="408"/>
      <c r="AN18" s="408"/>
      <c r="AP18" s="408"/>
      <c r="AQ18" s="408"/>
      <c r="AR18" s="105">
        <v>153</v>
      </c>
      <c r="AS18" s="411">
        <v>0</v>
      </c>
      <c r="AT18" s="105">
        <v>103</v>
      </c>
      <c r="AU18" s="411"/>
      <c r="AV18" s="108">
        <v>143</v>
      </c>
      <c r="AW18" s="308"/>
      <c r="AX18" s="408">
        <v>51</v>
      </c>
      <c r="AY18" s="408">
        <v>25</v>
      </c>
      <c r="AZ18" s="408">
        <v>36</v>
      </c>
      <c r="BA18" s="410"/>
      <c r="BB18" s="410"/>
      <c r="BC18" s="408"/>
      <c r="BE18" s="407"/>
      <c r="BF18" s="408"/>
      <c r="BG18" s="408"/>
      <c r="BH18" s="408"/>
      <c r="BI18" s="408"/>
      <c r="BL18" s="408"/>
      <c r="BM18" s="408"/>
      <c r="BN18" s="408"/>
      <c r="BO18" s="408"/>
      <c r="BP18" s="408"/>
      <c r="BQ18" s="408"/>
      <c r="BS18" s="408"/>
      <c r="BT18" s="408"/>
      <c r="BU18" s="408"/>
      <c r="BV18" s="408"/>
    </row>
    <row r="19" spans="1:75" s="116" customFormat="1" ht="12.75" customHeight="1">
      <c r="A19" s="104" t="s">
        <v>203</v>
      </c>
      <c r="B19" s="108"/>
      <c r="C19" s="108"/>
      <c r="D19" s="108"/>
      <c r="E19" s="108"/>
      <c r="F19" s="97"/>
      <c r="G19" s="108"/>
      <c r="H19" s="108"/>
      <c r="I19" s="108"/>
      <c r="J19" s="108"/>
      <c r="K19" s="97"/>
      <c r="L19" s="108"/>
      <c r="M19" s="108"/>
      <c r="N19" s="108"/>
      <c r="O19" s="108"/>
      <c r="P19" s="97"/>
      <c r="Q19" s="108"/>
      <c r="R19" s="108"/>
      <c r="S19" s="108"/>
      <c r="T19" s="108"/>
      <c r="U19" s="97"/>
      <c r="V19" s="96">
        <v>3054.700534759358</v>
      </c>
      <c r="W19" s="96">
        <v>2748.633383761976</v>
      </c>
      <c r="X19" s="96">
        <v>2911.32703777336</v>
      </c>
      <c r="Y19" s="96">
        <v>3555.816808309726</v>
      </c>
      <c r="Z19" s="97">
        <v>12294.261392088134</v>
      </c>
      <c r="AA19" s="96">
        <v>3774.4281663516063</v>
      </c>
      <c r="AB19" s="96">
        <v>3311</v>
      </c>
      <c r="AC19" s="96">
        <v>3527</v>
      </c>
      <c r="AD19" s="96">
        <f>AE19-AC19-AB19-AA19</f>
        <v>3121.5718336483937</v>
      </c>
      <c r="AE19" s="97">
        <v>13734</v>
      </c>
      <c r="AF19" s="96">
        <v>2677</v>
      </c>
      <c r="AG19" s="96">
        <v>3291</v>
      </c>
      <c r="AH19" s="96">
        <v>3738</v>
      </c>
      <c r="AI19" s="96">
        <v>4507</v>
      </c>
      <c r="AJ19" s="97">
        <v>14112</v>
      </c>
      <c r="AK19" s="96">
        <v>4537</v>
      </c>
      <c r="AL19" s="96">
        <v>5804</v>
      </c>
      <c r="AM19" s="96">
        <v>6212</v>
      </c>
      <c r="AN19" s="96">
        <v>4274</v>
      </c>
      <c r="AO19" s="97">
        <v>20576</v>
      </c>
      <c r="AP19" s="96">
        <v>2794</v>
      </c>
      <c r="AQ19" s="96">
        <v>3323</v>
      </c>
      <c r="AR19" s="96">
        <v>5011</v>
      </c>
      <c r="AS19" s="294">
        <v>10680</v>
      </c>
      <c r="AT19" s="96">
        <v>5450</v>
      </c>
      <c r="AU19" s="294">
        <v>5408</v>
      </c>
      <c r="AV19" s="97">
        <v>16127</v>
      </c>
      <c r="AW19" s="291">
        <v>16088</v>
      </c>
      <c r="AX19" s="96">
        <v>4511</v>
      </c>
      <c r="AY19" s="96">
        <v>4876</v>
      </c>
      <c r="AZ19" s="96">
        <v>5440</v>
      </c>
      <c r="BA19" s="294">
        <v>5441</v>
      </c>
      <c r="BB19" s="294">
        <v>14870</v>
      </c>
      <c r="BC19" s="96">
        <v>5796</v>
      </c>
      <c r="BD19" s="97">
        <v>20649</v>
      </c>
      <c r="BE19" s="373">
        <v>4512</v>
      </c>
      <c r="BF19" s="96">
        <v>4877</v>
      </c>
      <c r="BG19" s="96">
        <v>5441</v>
      </c>
      <c r="BH19" s="96">
        <v>5804</v>
      </c>
      <c r="BI19" s="96"/>
      <c r="BJ19" s="97">
        <v>20657</v>
      </c>
      <c r="BK19" s="97"/>
      <c r="BL19" s="96">
        <v>5905</v>
      </c>
      <c r="BM19" s="96">
        <v>7020</v>
      </c>
      <c r="BN19" s="96">
        <v>7020</v>
      </c>
      <c r="BO19" s="96">
        <v>7079</v>
      </c>
      <c r="BP19" s="96"/>
      <c r="BQ19" s="96">
        <v>6604</v>
      </c>
      <c r="BR19" s="97">
        <v>26596</v>
      </c>
      <c r="BS19" s="96">
        <v>5953</v>
      </c>
      <c r="BT19" s="96">
        <v>5745</v>
      </c>
      <c r="BU19" s="96">
        <v>6326</v>
      </c>
      <c r="BV19" s="96">
        <f>BV10+BV11</f>
        <v>6533</v>
      </c>
      <c r="BW19" s="97">
        <f>BW10+BW11</f>
        <v>24521</v>
      </c>
    </row>
    <row r="20" spans="1:57" s="116" customFormat="1" ht="12.75" customHeight="1">
      <c r="A20" s="131"/>
      <c r="AS20" s="302"/>
      <c r="AU20" s="302"/>
      <c r="AW20" s="302"/>
      <c r="BA20" s="302"/>
      <c r="BB20" s="302"/>
      <c r="BE20" s="381"/>
    </row>
    <row r="21" ht="12.75"/>
    <row r="22" spans="1:75" s="255" customFormat="1" ht="12.75">
      <c r="A22" s="254" t="s">
        <v>529</v>
      </c>
      <c r="B22" s="90" t="s">
        <v>2</v>
      </c>
      <c r="C22" s="90" t="s">
        <v>3</v>
      </c>
      <c r="D22" s="90" t="s">
        <v>4</v>
      </c>
      <c r="E22" s="90" t="s">
        <v>5</v>
      </c>
      <c r="F22" s="90" t="s">
        <v>6</v>
      </c>
      <c r="G22" s="90" t="s">
        <v>12</v>
      </c>
      <c r="H22" s="90" t="s">
        <v>13</v>
      </c>
      <c r="I22" s="90" t="s">
        <v>14</v>
      </c>
      <c r="J22" s="90" t="s">
        <v>15</v>
      </c>
      <c r="K22" s="90" t="s">
        <v>16</v>
      </c>
      <c r="L22" s="90" t="s">
        <v>17</v>
      </c>
      <c r="M22" s="90" t="s">
        <v>18</v>
      </c>
      <c r="N22" s="90" t="s">
        <v>19</v>
      </c>
      <c r="O22" s="90" t="s">
        <v>20</v>
      </c>
      <c r="P22" s="90" t="s">
        <v>21</v>
      </c>
      <c r="Q22" s="90" t="s">
        <v>22</v>
      </c>
      <c r="R22" s="90" t="s">
        <v>23</v>
      </c>
      <c r="S22" s="90" t="s">
        <v>24</v>
      </c>
      <c r="T22" s="90" t="s">
        <v>25</v>
      </c>
      <c r="U22" s="90" t="s">
        <v>26</v>
      </c>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289"/>
      <c r="AT22" s="90"/>
      <c r="AU22" s="311"/>
      <c r="AV22" s="90"/>
      <c r="AW22" s="289"/>
      <c r="AX22" s="90"/>
      <c r="AY22" s="90"/>
      <c r="AZ22" s="90"/>
      <c r="BA22" s="289"/>
      <c r="BB22" s="289"/>
      <c r="BC22" s="90"/>
      <c r="BD22" s="90"/>
      <c r="BE22" s="391"/>
      <c r="BF22" s="7"/>
      <c r="BG22" s="7"/>
      <c r="BH22" s="90"/>
      <c r="BI22" s="90"/>
      <c r="BJ22" s="90"/>
      <c r="BK22" s="90"/>
      <c r="BL22" s="90"/>
      <c r="BM22" s="90"/>
      <c r="BN22" s="90"/>
      <c r="BO22" s="90"/>
      <c r="BP22" s="90"/>
      <c r="BQ22" s="90"/>
      <c r="BR22" s="90"/>
      <c r="BS22" s="90"/>
      <c r="BT22" s="90"/>
      <c r="BU22" s="90"/>
      <c r="BV22" s="90"/>
      <c r="BW22" s="90"/>
    </row>
    <row r="23" spans="1:56" ht="12.75">
      <c r="A23" s="131" t="s">
        <v>524</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7"/>
      <c r="AL23" s="127"/>
      <c r="AM23" s="127"/>
      <c r="AN23" s="127"/>
      <c r="AO23" s="127"/>
      <c r="AP23" s="127"/>
      <c r="AQ23" s="127"/>
      <c r="AR23" s="127"/>
      <c r="AS23" s="303"/>
      <c r="AT23" s="127"/>
      <c r="AU23" s="303"/>
      <c r="AV23" s="127"/>
      <c r="AW23" s="303"/>
      <c r="BD23" s="127"/>
    </row>
    <row r="24" spans="1:75" ht="12.75">
      <c r="A24" s="124" t="s">
        <v>192</v>
      </c>
      <c r="B24" s="88">
        <v>7.533913043478261</v>
      </c>
      <c r="C24" s="88">
        <v>5.269949066213922</v>
      </c>
      <c r="D24" s="88">
        <v>3.4216101694915255</v>
      </c>
      <c r="E24" s="88">
        <v>5.277777777777778</v>
      </c>
      <c r="F24" s="93">
        <v>21.532286212914485</v>
      </c>
      <c r="G24" s="88">
        <v>3.3620689655172415</v>
      </c>
      <c r="H24" s="88">
        <v>6.773706082357386</v>
      </c>
      <c r="I24" s="88">
        <v>1.5724027276373846</v>
      </c>
      <c r="J24" s="88">
        <v>5.696994991652755</v>
      </c>
      <c r="K24" s="93">
        <v>17.387596899224807</v>
      </c>
      <c r="L24" s="88">
        <v>1.2031732040546497</v>
      </c>
      <c r="M24" s="88">
        <v>30.629528985507246</v>
      </c>
      <c r="N24" s="88">
        <v>-23.49935036812473</v>
      </c>
      <c r="O24" s="88">
        <v>39.67535436671239</v>
      </c>
      <c r="P24" s="93">
        <v>45.842245989304814</v>
      </c>
      <c r="Q24" s="88">
        <v>29.5</v>
      </c>
      <c r="R24" s="88">
        <v>44.519827998088864</v>
      </c>
      <c r="S24" s="88">
        <v>62.622789783889985</v>
      </c>
      <c r="T24" s="88">
        <v>63.84412848867825</v>
      </c>
      <c r="U24" s="93">
        <v>199.05231984205332</v>
      </c>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300"/>
      <c r="AT24" s="106"/>
      <c r="AU24" s="300"/>
      <c r="AV24" s="106"/>
      <c r="AW24" s="300"/>
      <c r="AX24" s="226"/>
      <c r="AY24" s="226"/>
      <c r="AZ24" s="226"/>
      <c r="BA24" s="313"/>
      <c r="BB24" s="313"/>
      <c r="BC24" s="226"/>
      <c r="BD24" s="106"/>
      <c r="BE24" s="387"/>
      <c r="BF24" s="226"/>
      <c r="BG24" s="226"/>
      <c r="BH24" s="226"/>
      <c r="BI24" s="226"/>
      <c r="BJ24" s="226"/>
      <c r="BK24" s="226"/>
      <c r="BL24" s="226"/>
      <c r="BM24" s="226"/>
      <c r="BN24" s="226"/>
      <c r="BO24" s="226"/>
      <c r="BP24" s="226"/>
      <c r="BQ24" s="226"/>
      <c r="BR24" s="226"/>
      <c r="BS24" s="226"/>
      <c r="BT24" s="226"/>
      <c r="BU24" s="226"/>
      <c r="BV24" s="226"/>
      <c r="BW24" s="226"/>
    </row>
    <row r="25" spans="1:75" ht="12.75">
      <c r="A25" s="124" t="s">
        <v>193</v>
      </c>
      <c r="B25" s="88">
        <v>519.9582608695653</v>
      </c>
      <c r="C25" s="88">
        <v>573.616298811545</v>
      </c>
      <c r="D25" s="88">
        <v>701.670197740113</v>
      </c>
      <c r="E25" s="88">
        <v>549.074074074074</v>
      </c>
      <c r="F25" s="93">
        <v>2343.1448516579408</v>
      </c>
      <c r="G25" s="88">
        <v>482.1623563218391</v>
      </c>
      <c r="H25" s="88">
        <v>700.593124291651</v>
      </c>
      <c r="I25" s="88">
        <v>675.6277577216205</v>
      </c>
      <c r="J25" s="88">
        <v>687.6919866444074</v>
      </c>
      <c r="K25" s="93">
        <v>2530.5658914728683</v>
      </c>
      <c r="L25" s="88">
        <v>673.2613486117232</v>
      </c>
      <c r="M25" s="88">
        <v>1045.4121376811593</v>
      </c>
      <c r="N25" s="88">
        <v>1103.6509311390212</v>
      </c>
      <c r="O25" s="88">
        <v>1153.2510288065844</v>
      </c>
      <c r="P25" s="93">
        <v>3968.9795008912656</v>
      </c>
      <c r="Q25" s="88">
        <v>1043.3461538461538</v>
      </c>
      <c r="R25" s="88">
        <v>1291.9732441471572</v>
      </c>
      <c r="S25" s="88">
        <v>1611.925343811395</v>
      </c>
      <c r="T25" s="88">
        <v>1935.1869404949973</v>
      </c>
      <c r="U25" s="93">
        <v>5839.615004935834</v>
      </c>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300"/>
      <c r="AT25" s="106"/>
      <c r="AU25" s="300"/>
      <c r="AV25" s="106"/>
      <c r="AW25" s="300"/>
      <c r="AX25" s="106"/>
      <c r="AY25" s="106"/>
      <c r="AZ25" s="106"/>
      <c r="BA25" s="300"/>
      <c r="BB25" s="300"/>
      <c r="BC25" s="106"/>
      <c r="BD25" s="106"/>
      <c r="BE25" s="378"/>
      <c r="BF25" s="106"/>
      <c r="BG25" s="106"/>
      <c r="BH25" s="106"/>
      <c r="BI25" s="106"/>
      <c r="BJ25" s="106"/>
      <c r="BK25" s="106"/>
      <c r="BL25" s="106"/>
      <c r="BM25" s="106"/>
      <c r="BN25" s="106"/>
      <c r="BO25" s="106"/>
      <c r="BP25" s="106"/>
      <c r="BQ25" s="106"/>
      <c r="BR25" s="106"/>
      <c r="BS25" s="106"/>
      <c r="BT25" s="106"/>
      <c r="BU25" s="106"/>
      <c r="BV25" s="106"/>
      <c r="BW25" s="106"/>
    </row>
    <row r="26" spans="1:75" ht="12.75">
      <c r="A26" s="124" t="s">
        <v>194</v>
      </c>
      <c r="B26" s="88">
        <v>370.5321739130435</v>
      </c>
      <c r="C26" s="88">
        <v>160.0916808149406</v>
      </c>
      <c r="D26" s="88">
        <v>179.31850282485877</v>
      </c>
      <c r="E26" s="88">
        <v>443.6289173789174</v>
      </c>
      <c r="F26" s="93">
        <v>1148.4432809773125</v>
      </c>
      <c r="G26" s="88">
        <v>429.2887931034483</v>
      </c>
      <c r="H26" s="88">
        <v>238.94975443898755</v>
      </c>
      <c r="I26" s="88">
        <v>218.3032490974729</v>
      </c>
      <c r="J26" s="88">
        <v>511.0684474123539</v>
      </c>
      <c r="K26" s="93">
        <v>1393.9496124031007</v>
      </c>
      <c r="L26" s="88">
        <v>657.7831643895989</v>
      </c>
      <c r="M26" s="88">
        <v>322.6132246376811</v>
      </c>
      <c r="N26" s="88">
        <v>274.01905586834124</v>
      </c>
      <c r="O26" s="88">
        <v>669.4421582075903</v>
      </c>
      <c r="P26" s="93">
        <v>1916.9429590017826</v>
      </c>
      <c r="Q26" s="88">
        <v>983.3509615384615</v>
      </c>
      <c r="R26" s="88">
        <v>422.5561395126612</v>
      </c>
      <c r="S26" s="88">
        <v>338.688605108055</v>
      </c>
      <c r="T26" s="88">
        <v>886.8299104791995</v>
      </c>
      <c r="U26" s="93">
        <v>2617.690029615005</v>
      </c>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300"/>
      <c r="AT26" s="106"/>
      <c r="AU26" s="300"/>
      <c r="AV26" s="106"/>
      <c r="AW26" s="300"/>
      <c r="AX26" s="106"/>
      <c r="AY26" s="106"/>
      <c r="AZ26" s="106"/>
      <c r="BA26" s="300"/>
      <c r="BB26" s="300"/>
      <c r="BC26" s="106"/>
      <c r="BD26" s="106"/>
      <c r="BE26" s="378"/>
      <c r="BF26" s="106"/>
      <c r="BG26" s="106"/>
      <c r="BH26" s="106"/>
      <c r="BI26" s="106"/>
      <c r="BJ26" s="106"/>
      <c r="BK26" s="106"/>
      <c r="BL26" s="106"/>
      <c r="BM26" s="106"/>
      <c r="BN26" s="106"/>
      <c r="BO26" s="106"/>
      <c r="BP26" s="106"/>
      <c r="BQ26" s="106"/>
      <c r="BR26" s="106"/>
      <c r="BS26" s="106"/>
      <c r="BT26" s="106"/>
      <c r="BU26" s="106"/>
      <c r="BV26" s="106"/>
      <c r="BW26" s="106"/>
    </row>
    <row r="27" spans="1:75" ht="12.75">
      <c r="A27" s="124" t="s">
        <v>62</v>
      </c>
      <c r="B27" s="88">
        <v>139.2382608695652</v>
      </c>
      <c r="C27" s="88">
        <v>110.76740237691001</v>
      </c>
      <c r="D27" s="88">
        <v>128.37923728813558</v>
      </c>
      <c r="E27" s="88">
        <v>107.3076923076923</v>
      </c>
      <c r="F27" s="93">
        <v>485.65794066317625</v>
      </c>
      <c r="G27" s="88">
        <v>102.74425287356323</v>
      </c>
      <c r="H27" s="88">
        <v>111.58670192670948</v>
      </c>
      <c r="I27" s="88">
        <v>130.70998796630565</v>
      </c>
      <c r="J27" s="88">
        <v>134.75375626043407</v>
      </c>
      <c r="K27" s="93">
        <v>476.7984496124031</v>
      </c>
      <c r="L27" s="88">
        <v>146.89731159100924</v>
      </c>
      <c r="M27" s="88">
        <v>212.64945652173913</v>
      </c>
      <c r="N27" s="88">
        <v>183.73754872239064</v>
      </c>
      <c r="O27" s="88">
        <v>211.6918152720622</v>
      </c>
      <c r="P27" s="93">
        <v>753.1461675579322</v>
      </c>
      <c r="Q27" s="88">
        <v>212.23076923076923</v>
      </c>
      <c r="R27" s="88">
        <v>235.07405637840418</v>
      </c>
      <c r="S27" s="88">
        <v>231.43418467583498</v>
      </c>
      <c r="T27" s="88">
        <v>300.5476566614007</v>
      </c>
      <c r="U27" s="93">
        <v>975.019743336624</v>
      </c>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300"/>
      <c r="AT27" s="106"/>
      <c r="AU27" s="300"/>
      <c r="AV27" s="106"/>
      <c r="AW27" s="300"/>
      <c r="AX27" s="106"/>
      <c r="AY27" s="106"/>
      <c r="AZ27" s="106"/>
      <c r="BA27" s="300"/>
      <c r="BB27" s="300"/>
      <c r="BC27" s="106"/>
      <c r="BD27" s="106"/>
      <c r="BE27" s="378"/>
      <c r="BF27" s="106"/>
      <c r="BG27" s="106"/>
      <c r="BH27" s="106"/>
      <c r="BI27" s="106"/>
      <c r="BJ27" s="106"/>
      <c r="BK27" s="106"/>
      <c r="BL27" s="106"/>
      <c r="BM27" s="106"/>
      <c r="BN27" s="106"/>
      <c r="BO27" s="106"/>
      <c r="BP27" s="106"/>
      <c r="BQ27" s="106"/>
      <c r="BR27" s="106"/>
      <c r="BS27" s="106"/>
      <c r="BT27" s="106"/>
      <c r="BU27" s="106"/>
      <c r="BV27" s="106"/>
      <c r="BW27" s="106"/>
    </row>
    <row r="28" spans="1:75" ht="12.75">
      <c r="A28" s="124" t="s">
        <v>195</v>
      </c>
      <c r="B28" s="88">
        <v>26.723478260869566</v>
      </c>
      <c r="C28" s="88">
        <v>38.730050933786075</v>
      </c>
      <c r="D28" s="88">
        <v>13.502824858757062</v>
      </c>
      <c r="E28" s="88">
        <v>22.1011396011396</v>
      </c>
      <c r="F28" s="93">
        <v>101.63699825479931</v>
      </c>
      <c r="G28" s="88">
        <v>30.571120689655174</v>
      </c>
      <c r="H28" s="88">
        <v>24.52965621458255</v>
      </c>
      <c r="I28" s="88">
        <v>9.77135980746089</v>
      </c>
      <c r="J28" s="88">
        <v>9.148580968280468</v>
      </c>
      <c r="K28" s="93">
        <v>76.09302325581395</v>
      </c>
      <c r="L28" s="88">
        <v>13.287791978845306</v>
      </c>
      <c r="M28" s="88">
        <v>-7.382246376811594</v>
      </c>
      <c r="N28" s="88">
        <v>4.352533564313555</v>
      </c>
      <c r="O28" s="88">
        <v>7.10562414266118</v>
      </c>
      <c r="P28" s="93">
        <v>17.575757575757574</v>
      </c>
      <c r="Q28" s="88">
        <v>4.4423076923076925</v>
      </c>
      <c r="R28" s="88">
        <v>32.044911610129</v>
      </c>
      <c r="S28" s="88">
        <v>-22.907662082514737</v>
      </c>
      <c r="T28" s="88">
        <v>8.141126908899421</v>
      </c>
      <c r="U28" s="93">
        <v>22.275419545903258</v>
      </c>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300"/>
      <c r="AT28" s="106"/>
      <c r="AU28" s="300"/>
      <c r="AV28" s="106"/>
      <c r="AW28" s="300"/>
      <c r="AX28" s="106"/>
      <c r="AY28" s="106"/>
      <c r="AZ28" s="106"/>
      <c r="BA28" s="300"/>
      <c r="BB28" s="300"/>
      <c r="BC28" s="106"/>
      <c r="BD28" s="106"/>
      <c r="BE28" s="378"/>
      <c r="BF28" s="106"/>
      <c r="BG28" s="106"/>
      <c r="BH28" s="106"/>
      <c r="BI28" s="106"/>
      <c r="BJ28" s="106"/>
      <c r="BK28" s="106"/>
      <c r="BL28" s="106"/>
      <c r="BM28" s="106"/>
      <c r="BN28" s="106"/>
      <c r="BO28" s="106"/>
      <c r="BP28" s="106"/>
      <c r="BQ28" s="106"/>
      <c r="BR28" s="106"/>
      <c r="BS28" s="106"/>
      <c r="BT28" s="106"/>
      <c r="BU28" s="106"/>
      <c r="BV28" s="106"/>
      <c r="BW28" s="106"/>
    </row>
    <row r="29" spans="1:75" ht="12.75">
      <c r="A29" s="124"/>
      <c r="B29" s="88"/>
      <c r="C29" s="88"/>
      <c r="D29" s="88"/>
      <c r="E29" s="88"/>
      <c r="F29" s="93"/>
      <c r="G29" s="88"/>
      <c r="H29" s="88"/>
      <c r="I29" s="88"/>
      <c r="J29" s="88"/>
      <c r="K29" s="93"/>
      <c r="L29" s="88"/>
      <c r="M29" s="88"/>
      <c r="N29" s="88"/>
      <c r="O29" s="88"/>
      <c r="P29" s="93"/>
      <c r="Q29" s="88"/>
      <c r="R29" s="88"/>
      <c r="S29" s="88"/>
      <c r="T29" s="88"/>
      <c r="U29" s="93"/>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300"/>
      <c r="AT29" s="106"/>
      <c r="AU29" s="300"/>
      <c r="AV29" s="106"/>
      <c r="AW29" s="300"/>
      <c r="AX29" s="106"/>
      <c r="AY29" s="106"/>
      <c r="AZ29" s="106"/>
      <c r="BA29" s="300"/>
      <c r="BB29" s="300"/>
      <c r="BC29" s="106"/>
      <c r="BD29" s="106"/>
      <c r="BE29" s="378"/>
      <c r="BF29" s="106"/>
      <c r="BG29" s="106"/>
      <c r="BH29" s="106"/>
      <c r="BI29" s="106"/>
      <c r="BJ29" s="106"/>
      <c r="BK29" s="106"/>
      <c r="BL29" s="106"/>
      <c r="BM29" s="106"/>
      <c r="BN29" s="106"/>
      <c r="BO29" s="106"/>
      <c r="BP29" s="106"/>
      <c r="BQ29" s="106"/>
      <c r="BR29" s="106"/>
      <c r="BS29" s="106"/>
      <c r="BT29" s="106"/>
      <c r="BU29" s="106"/>
      <c r="BV29" s="106"/>
      <c r="BW29" s="106"/>
    </row>
    <row r="30" spans="1:75" ht="12.75">
      <c r="A30" s="104" t="s">
        <v>205</v>
      </c>
      <c r="B30" s="96">
        <v>1063.9860869565218</v>
      </c>
      <c r="C30" s="96">
        <v>888.4753820033956</v>
      </c>
      <c r="D30" s="96">
        <v>1026.292372881356</v>
      </c>
      <c r="E30" s="96">
        <v>1127.3896011396012</v>
      </c>
      <c r="F30" s="97">
        <v>4100.415357766144</v>
      </c>
      <c r="G30" s="96">
        <v>1048.128591954023</v>
      </c>
      <c r="H30" s="96">
        <v>1082.432942954288</v>
      </c>
      <c r="I30" s="96">
        <v>1035.9847573204972</v>
      </c>
      <c r="J30" s="96">
        <v>1348.3597662771285</v>
      </c>
      <c r="K30" s="97">
        <v>4494.79457364341</v>
      </c>
      <c r="L30" s="96">
        <v>1492.4327897752312</v>
      </c>
      <c r="M30" s="96">
        <v>1603.922101449275</v>
      </c>
      <c r="N30" s="96">
        <v>1542.2607189259418</v>
      </c>
      <c r="O30" s="96">
        <v>2081.1659807956107</v>
      </c>
      <c r="P30" s="97">
        <v>6702.486631016043</v>
      </c>
      <c r="Q30" s="96">
        <v>2272.870192307692</v>
      </c>
      <c r="R30" s="96">
        <v>2026.1681796464404</v>
      </c>
      <c r="S30" s="96">
        <v>2221.76326129666</v>
      </c>
      <c r="T30" s="96">
        <v>3194.549763033175</v>
      </c>
      <c r="U30" s="97">
        <v>9653.65251727542</v>
      </c>
      <c r="V30" s="108"/>
      <c r="W30" s="108"/>
      <c r="X30" s="108"/>
      <c r="Y30" s="108"/>
      <c r="Z30" s="108"/>
      <c r="AA30" s="108"/>
      <c r="AB30" s="108"/>
      <c r="AC30" s="106"/>
      <c r="AD30" s="106"/>
      <c r="AE30" s="106"/>
      <c r="AF30" s="106"/>
      <c r="AG30" s="106"/>
      <c r="AH30" s="106"/>
      <c r="AI30" s="106"/>
      <c r="AJ30" s="106"/>
      <c r="AK30" s="106"/>
      <c r="AL30" s="106"/>
      <c r="AM30" s="106"/>
      <c r="AN30" s="106"/>
      <c r="AO30" s="106"/>
      <c r="AP30" s="106"/>
      <c r="AQ30" s="106"/>
      <c r="AR30" s="106"/>
      <c r="AS30" s="300"/>
      <c r="AT30" s="106"/>
      <c r="AU30" s="300"/>
      <c r="AV30" s="106"/>
      <c r="AW30" s="300"/>
      <c r="AX30" s="106"/>
      <c r="AY30" s="106"/>
      <c r="AZ30" s="106"/>
      <c r="BA30" s="300"/>
      <c r="BB30" s="300"/>
      <c r="BC30" s="106"/>
      <c r="BD30" s="106"/>
      <c r="BE30" s="378"/>
      <c r="BF30" s="106"/>
      <c r="BG30" s="106"/>
      <c r="BH30" s="106"/>
      <c r="BI30" s="106"/>
      <c r="BJ30" s="106"/>
      <c r="BK30" s="106"/>
      <c r="BL30" s="106"/>
      <c r="BM30" s="106"/>
      <c r="BN30" s="106"/>
      <c r="BO30" s="106"/>
      <c r="BP30" s="106"/>
      <c r="BQ30" s="106"/>
      <c r="BR30" s="106"/>
      <c r="BS30" s="106"/>
      <c r="BT30" s="106"/>
      <c r="BU30" s="106"/>
      <c r="BV30" s="106"/>
      <c r="BW30" s="106"/>
    </row>
    <row r="31" spans="1:28" ht="12.75">
      <c r="A31" s="125"/>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row>
    <row r="32" spans="1:28" ht="12.75">
      <c r="A32" s="125"/>
      <c r="G32" s="116"/>
      <c r="H32" s="116"/>
      <c r="I32" s="116"/>
      <c r="J32" s="116"/>
      <c r="K32" s="116"/>
      <c r="L32" s="116"/>
      <c r="M32" s="116"/>
      <c r="N32" s="116"/>
      <c r="O32" s="116"/>
      <c r="P32" s="116"/>
      <c r="Q32" s="116"/>
      <c r="R32" s="116"/>
      <c r="S32" s="116"/>
      <c r="T32" s="116"/>
      <c r="U32" s="116"/>
      <c r="V32" s="116"/>
      <c r="W32" s="116"/>
      <c r="X32" s="116"/>
      <c r="Y32" s="116"/>
      <c r="Z32" s="116"/>
      <c r="AA32" s="116"/>
      <c r="AB32" s="116"/>
    </row>
    <row r="33" spans="1:75" ht="25.5">
      <c r="A33" s="89" t="s">
        <v>530</v>
      </c>
      <c r="B33" s="90" t="s">
        <v>2</v>
      </c>
      <c r="C33" s="90" t="s">
        <v>3</v>
      </c>
      <c r="D33" s="90" t="s">
        <v>4</v>
      </c>
      <c r="E33" s="90" t="s">
        <v>5</v>
      </c>
      <c r="F33" s="90" t="s">
        <v>6</v>
      </c>
      <c r="G33" s="90" t="s">
        <v>12</v>
      </c>
      <c r="H33" s="90" t="s">
        <v>13</v>
      </c>
      <c r="I33" s="90" t="s">
        <v>14</v>
      </c>
      <c r="J33" s="90" t="s">
        <v>15</v>
      </c>
      <c r="K33" s="90" t="s">
        <v>16</v>
      </c>
      <c r="L33" s="90" t="s">
        <v>17</v>
      </c>
      <c r="M33" s="90" t="s">
        <v>18</v>
      </c>
      <c r="N33" s="90" t="s">
        <v>19</v>
      </c>
      <c r="O33" s="90" t="s">
        <v>20</v>
      </c>
      <c r="P33" s="90" t="s">
        <v>21</v>
      </c>
      <c r="Q33" s="90" t="s">
        <v>22</v>
      </c>
      <c r="R33" s="90" t="s">
        <v>23</v>
      </c>
      <c r="S33" s="90" t="s">
        <v>24</v>
      </c>
      <c r="T33" s="90" t="s">
        <v>25</v>
      </c>
      <c r="U33" s="90" t="s">
        <v>26</v>
      </c>
      <c r="V33" s="90" t="s">
        <v>27</v>
      </c>
      <c r="W33" s="90" t="s">
        <v>28</v>
      </c>
      <c r="X33" s="90" t="s">
        <v>29</v>
      </c>
      <c r="Y33" s="90" t="s">
        <v>30</v>
      </c>
      <c r="Z33" s="90" t="s">
        <v>31</v>
      </c>
      <c r="AA33" s="90" t="s">
        <v>32</v>
      </c>
      <c r="AB33" s="90" t="s">
        <v>33</v>
      </c>
      <c r="AC33" s="90" t="s">
        <v>34</v>
      </c>
      <c r="AD33" s="90" t="s">
        <v>271</v>
      </c>
      <c r="AE33" s="90" t="s">
        <v>272</v>
      </c>
      <c r="AF33" s="90" t="s">
        <v>274</v>
      </c>
      <c r="AG33" s="90" t="s">
        <v>276</v>
      </c>
      <c r="AH33" s="90" t="s">
        <v>278</v>
      </c>
      <c r="AI33" s="120" t="s">
        <v>280</v>
      </c>
      <c r="AJ33" s="120" t="s">
        <v>281</v>
      </c>
      <c r="AK33" s="120" t="s">
        <v>289</v>
      </c>
      <c r="AL33" s="120" t="s">
        <v>290</v>
      </c>
      <c r="AM33" s="120" t="s">
        <v>291</v>
      </c>
      <c r="AN33" s="120" t="s">
        <v>292</v>
      </c>
      <c r="AO33" s="120" t="s">
        <v>293</v>
      </c>
      <c r="AP33" s="120" t="s">
        <v>329</v>
      </c>
      <c r="AQ33" s="120" t="s">
        <v>330</v>
      </c>
      <c r="AR33" s="120" t="s">
        <v>331</v>
      </c>
      <c r="AS33" s="311" t="s">
        <v>490</v>
      </c>
      <c r="AT33" s="120" t="s">
        <v>332</v>
      </c>
      <c r="AU33" s="311" t="s">
        <v>477</v>
      </c>
      <c r="AV33" s="120" t="s">
        <v>333</v>
      </c>
      <c r="AW33" s="311" t="s">
        <v>463</v>
      </c>
      <c r="AX33" s="120" t="s">
        <v>448</v>
      </c>
      <c r="AY33" s="120" t="s">
        <v>451</v>
      </c>
      <c r="AZ33" s="120" t="s">
        <v>453</v>
      </c>
      <c r="BA33" s="311" t="s">
        <v>461</v>
      </c>
      <c r="BB33" s="289" t="s">
        <v>480</v>
      </c>
      <c r="BC33" s="120" t="s">
        <v>454</v>
      </c>
      <c r="BD33" s="120" t="s">
        <v>457</v>
      </c>
      <c r="BE33" s="342" t="s">
        <v>492</v>
      </c>
      <c r="BF33" s="7" t="s">
        <v>553</v>
      </c>
      <c r="BG33" s="7" t="s">
        <v>560</v>
      </c>
      <c r="BH33" s="7" t="s">
        <v>493</v>
      </c>
      <c r="BI33" s="7" t="s">
        <v>582</v>
      </c>
      <c r="BJ33" s="90" t="s">
        <v>494</v>
      </c>
      <c r="BK33" s="90" t="s">
        <v>573</v>
      </c>
      <c r="BL33" s="7" t="s">
        <v>600</v>
      </c>
      <c r="BM33" s="7" t="s">
        <v>554</v>
      </c>
      <c r="BN33" s="7" t="s">
        <v>611</v>
      </c>
      <c r="BO33" s="7" t="s">
        <v>561</v>
      </c>
      <c r="BP33" s="7" t="s">
        <v>572</v>
      </c>
      <c r="BQ33" s="7" t="s">
        <v>570</v>
      </c>
      <c r="BR33" s="90" t="s">
        <v>574</v>
      </c>
      <c r="BS33" s="7" t="s">
        <v>595</v>
      </c>
      <c r="BT33" s="7" t="s">
        <v>605</v>
      </c>
      <c r="BU33" s="7" t="s">
        <v>617</v>
      </c>
      <c r="BV33" s="7" t="s">
        <v>619</v>
      </c>
      <c r="BW33" s="120" t="s">
        <v>620</v>
      </c>
    </row>
    <row r="34" spans="1:75" ht="12.75">
      <c r="A34" s="131" t="s">
        <v>524</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7"/>
      <c r="AJ34" s="127"/>
      <c r="AK34" s="127"/>
      <c r="AL34" s="127"/>
      <c r="AM34" s="127"/>
      <c r="AN34" s="127"/>
      <c r="AO34" s="127"/>
      <c r="AP34" s="127"/>
      <c r="AQ34" s="127"/>
      <c r="AR34" s="127"/>
      <c r="AS34" s="303"/>
      <c r="AT34" s="127"/>
      <c r="AU34" s="303"/>
      <c r="AV34" s="127"/>
      <c r="AW34" s="303"/>
      <c r="AX34" s="127"/>
      <c r="AY34" s="127"/>
      <c r="AZ34" s="127"/>
      <c r="BA34" s="303"/>
      <c r="BB34" s="303"/>
      <c r="BC34" s="127"/>
      <c r="BD34" s="127"/>
      <c r="BE34" s="382"/>
      <c r="BF34" s="127"/>
      <c r="BG34" s="127"/>
      <c r="BH34" s="127"/>
      <c r="BI34" s="127"/>
      <c r="BJ34" s="127"/>
      <c r="BK34" s="127"/>
      <c r="BL34" s="127"/>
      <c r="BM34" s="127"/>
      <c r="BN34" s="127"/>
      <c r="BO34" s="127"/>
      <c r="BP34" s="127"/>
      <c r="BQ34" s="127"/>
      <c r="BR34" s="127"/>
      <c r="BS34" s="127"/>
      <c r="BT34" s="127"/>
      <c r="BU34" s="127"/>
      <c r="BV34" s="127"/>
      <c r="BW34" s="127"/>
    </row>
    <row r="35" spans="1:75" ht="12.75">
      <c r="A35" s="139" t="s">
        <v>518</v>
      </c>
      <c r="B35" s="88">
        <v>78.15652173913044</v>
      </c>
      <c r="C35" s="88">
        <v>58.74702886247878</v>
      </c>
      <c r="D35" s="88">
        <v>46.16172316384181</v>
      </c>
      <c r="E35" s="88">
        <v>50.997150997150996</v>
      </c>
      <c r="F35" s="93">
        <v>234.42931937172776</v>
      </c>
      <c r="G35" s="88">
        <v>59.72701149425288</v>
      </c>
      <c r="H35" s="88">
        <v>45.50812240272006</v>
      </c>
      <c r="I35" s="88">
        <v>42.46690734055355</v>
      </c>
      <c r="J35" s="88">
        <v>50.475792988313856</v>
      </c>
      <c r="K35" s="93">
        <v>199.0503875968992</v>
      </c>
      <c r="L35" s="88">
        <v>79.16703393565447</v>
      </c>
      <c r="M35" s="88">
        <v>50.692934782608695</v>
      </c>
      <c r="N35" s="88">
        <v>35.53053269813772</v>
      </c>
      <c r="O35" s="88">
        <v>28.047553726566072</v>
      </c>
      <c r="P35" s="93">
        <v>193.8235294117647</v>
      </c>
      <c r="Q35" s="88">
        <v>57.49519230769231</v>
      </c>
      <c r="R35" s="88">
        <v>61.3999044433827</v>
      </c>
      <c r="S35" s="88">
        <v>92.90275049115914</v>
      </c>
      <c r="T35" s="88">
        <v>54.98683517640863</v>
      </c>
      <c r="U35" s="93">
        <v>267.3593287265548</v>
      </c>
      <c r="V35" s="88">
        <v>90.87700534759358</v>
      </c>
      <c r="W35" s="88">
        <v>121.65405950579928</v>
      </c>
      <c r="X35" s="88">
        <v>163.19085487077535</v>
      </c>
      <c r="Y35" s="88">
        <v>148.356940509915</v>
      </c>
      <c r="Z35" s="93">
        <v>527.6614922383576</v>
      </c>
      <c r="AA35" s="88">
        <v>180.79395085066162</v>
      </c>
      <c r="AB35" s="88">
        <v>153.17924528301887</v>
      </c>
      <c r="AC35" s="88">
        <v>161.46691346598797</v>
      </c>
      <c r="AD35" s="88">
        <f>AE35-AC35-AB35-AA35</f>
        <v>76.55989040033151</v>
      </c>
      <c r="AE35" s="93">
        <v>572</v>
      </c>
      <c r="AF35" s="88">
        <v>88.51108819343982</v>
      </c>
      <c r="AG35" s="88">
        <v>127.76894719196817</v>
      </c>
      <c r="AH35" s="88">
        <v>109.88046031868484</v>
      </c>
      <c r="AI35" s="88">
        <v>104.01164137556617</v>
      </c>
      <c r="AJ35" s="93">
        <v>429.0750816104461</v>
      </c>
      <c r="AK35" s="88">
        <v>515</v>
      </c>
      <c r="AL35" s="88">
        <v>193</v>
      </c>
      <c r="AM35" s="88">
        <v>209</v>
      </c>
      <c r="AN35" s="88">
        <v>193</v>
      </c>
      <c r="AO35" s="93">
        <v>1113</v>
      </c>
      <c r="AP35" s="88">
        <v>203</v>
      </c>
      <c r="AQ35" s="88">
        <v>72</v>
      </c>
      <c r="AR35" s="88">
        <v>185</v>
      </c>
      <c r="AS35" s="100">
        <v>410</v>
      </c>
      <c r="AT35" s="88">
        <v>216</v>
      </c>
      <c r="AU35" s="100">
        <v>266</v>
      </c>
      <c r="AV35" s="93">
        <v>672</v>
      </c>
      <c r="AW35" s="101">
        <v>676</v>
      </c>
      <c r="AX35" s="88">
        <v>268.9</v>
      </c>
      <c r="AY35" s="88">
        <v>177</v>
      </c>
      <c r="AZ35" s="88">
        <v>372</v>
      </c>
      <c r="BA35" s="100">
        <v>314</v>
      </c>
      <c r="BB35" s="100">
        <v>641</v>
      </c>
      <c r="BC35" s="88">
        <v>366</v>
      </c>
      <c r="BD35" s="93">
        <v>1003.2</v>
      </c>
      <c r="BE35" s="372">
        <v>279</v>
      </c>
      <c r="BF35" s="88">
        <v>166</v>
      </c>
      <c r="BG35" s="88">
        <v>345</v>
      </c>
      <c r="BH35" s="88">
        <v>350</v>
      </c>
      <c r="BI35" s="88">
        <v>350</v>
      </c>
      <c r="BJ35" s="93">
        <v>1137</v>
      </c>
      <c r="BK35" s="93">
        <v>1137</v>
      </c>
      <c r="BL35" s="88">
        <v>420</v>
      </c>
      <c r="BM35" s="88">
        <v>399</v>
      </c>
      <c r="BN35" s="88">
        <v>399</v>
      </c>
      <c r="BO35" s="88">
        <v>395</v>
      </c>
      <c r="BP35" s="88">
        <v>395</v>
      </c>
      <c r="BQ35" s="88">
        <v>387</v>
      </c>
      <c r="BR35" s="93">
        <v>1601</v>
      </c>
      <c r="BS35" s="88">
        <v>294</v>
      </c>
      <c r="BT35" s="88">
        <v>261</v>
      </c>
      <c r="BU35" s="88">
        <v>317</v>
      </c>
      <c r="BV35" s="232">
        <v>258</v>
      </c>
      <c r="BW35" s="473">
        <v>1128</v>
      </c>
    </row>
    <row r="36" spans="1:75" ht="12.75">
      <c r="A36" s="139" t="s">
        <v>517</v>
      </c>
      <c r="B36" s="88">
        <v>55.25565217391304</v>
      </c>
      <c r="C36" s="88">
        <v>65.61969439728354</v>
      </c>
      <c r="D36" s="88">
        <v>63.788841807909606</v>
      </c>
      <c r="E36" s="88">
        <v>60.04273504273504</v>
      </c>
      <c r="F36" s="93">
        <v>244.80279232111693</v>
      </c>
      <c r="G36" s="88">
        <v>12.295258620689657</v>
      </c>
      <c r="H36" s="88">
        <v>79.63732527389497</v>
      </c>
      <c r="I36" s="88">
        <v>46.23345367027677</v>
      </c>
      <c r="J36" s="88">
        <v>5.513355592654424</v>
      </c>
      <c r="K36" s="93">
        <v>144.7674418604651</v>
      </c>
      <c r="L36" s="88">
        <v>59.422653151167914</v>
      </c>
      <c r="M36" s="88">
        <v>55.17210144927536</v>
      </c>
      <c r="N36" s="88">
        <v>92.69813772195755</v>
      </c>
      <c r="O36" s="88">
        <v>94.03292181069959</v>
      </c>
      <c r="P36" s="93">
        <v>301.39928698752226</v>
      </c>
      <c r="Q36" s="88">
        <v>113.625</v>
      </c>
      <c r="R36" s="88">
        <v>153.75059722885808</v>
      </c>
      <c r="S36" s="88">
        <v>290.0147347740668</v>
      </c>
      <c r="T36" s="88">
        <v>231.91679831490256</v>
      </c>
      <c r="U36" s="93">
        <v>784.3139190523199</v>
      </c>
      <c r="V36" s="88">
        <v>201.5133689839572</v>
      </c>
      <c r="W36" s="88">
        <v>253.04589006555722</v>
      </c>
      <c r="X36" s="88">
        <v>251.97813121272367</v>
      </c>
      <c r="Y36" s="88">
        <v>181.43059490084985</v>
      </c>
      <c r="Z36" s="93">
        <v>886.2643965948923</v>
      </c>
      <c r="AA36" s="88">
        <v>114.53213610586012</v>
      </c>
      <c r="AB36" s="88">
        <v>325.8443396226415</v>
      </c>
      <c r="AC36" s="88">
        <v>271.6196205460435</v>
      </c>
      <c r="AD36" s="88">
        <f aca="true" t="shared" si="1" ref="AD36:AD41">AE36-AC36-AB36-AA36</f>
        <v>91.00390372545489</v>
      </c>
      <c r="AE36" s="93">
        <v>803</v>
      </c>
      <c r="AF36" s="88">
        <v>147.20004531091072</v>
      </c>
      <c r="AG36" s="88">
        <v>317.71248530656374</v>
      </c>
      <c r="AH36" s="88">
        <v>257.6883703128035</v>
      </c>
      <c r="AI36" s="88">
        <v>216.89204807153143</v>
      </c>
      <c r="AJ36" s="93">
        <v>935.4461371055495</v>
      </c>
      <c r="AK36" s="88">
        <v>232</v>
      </c>
      <c r="AL36" s="88">
        <v>435</v>
      </c>
      <c r="AM36" s="88">
        <v>29</v>
      </c>
      <c r="AN36" s="88">
        <v>-207</v>
      </c>
      <c r="AO36" s="93">
        <v>421</v>
      </c>
      <c r="AP36" s="88">
        <v>21</v>
      </c>
      <c r="AQ36" s="88">
        <v>196</v>
      </c>
      <c r="AR36" s="88">
        <v>-9</v>
      </c>
      <c r="AS36" s="100">
        <v>233</v>
      </c>
      <c r="AT36" s="88">
        <v>-144</v>
      </c>
      <c r="AU36" s="100">
        <v>-157</v>
      </c>
      <c r="AV36" s="93">
        <v>89</v>
      </c>
      <c r="AW36" s="101">
        <v>76</v>
      </c>
      <c r="AX36" s="88">
        <v>-15</v>
      </c>
      <c r="AY36" s="88">
        <v>96</v>
      </c>
      <c r="AZ36" s="88">
        <v>91</v>
      </c>
      <c r="BA36" s="100">
        <v>91</v>
      </c>
      <c r="BB36" s="100">
        <v>180</v>
      </c>
      <c r="BC36" s="88">
        <v>16</v>
      </c>
      <c r="BD36" s="93">
        <v>197</v>
      </c>
      <c r="BE36" s="372">
        <v>-21</v>
      </c>
      <c r="BF36" s="88">
        <v>62</v>
      </c>
      <c r="BG36" s="88">
        <v>146</v>
      </c>
      <c r="BH36" s="88">
        <v>-48</v>
      </c>
      <c r="BI36" s="88">
        <v>-48</v>
      </c>
      <c r="BJ36" s="93">
        <v>152</v>
      </c>
      <c r="BK36" s="93">
        <v>152</v>
      </c>
      <c r="BL36" s="88">
        <v>161</v>
      </c>
      <c r="BM36" s="88">
        <v>29</v>
      </c>
      <c r="BN36" s="88">
        <v>29</v>
      </c>
      <c r="BO36" s="88">
        <v>-125</v>
      </c>
      <c r="BP36" s="88">
        <v>-125</v>
      </c>
      <c r="BQ36" s="88">
        <v>-388</v>
      </c>
      <c r="BR36" s="93">
        <v>-369</v>
      </c>
      <c r="BS36" s="88">
        <v>68</v>
      </c>
      <c r="BT36" s="88">
        <v>-192</v>
      </c>
      <c r="BU36" s="88">
        <v>195</v>
      </c>
      <c r="BV36" s="232">
        <v>-53</v>
      </c>
      <c r="BW36" s="473">
        <v>17</v>
      </c>
    </row>
    <row r="37" spans="1:75" ht="14.25">
      <c r="A37" s="139" t="s">
        <v>538</v>
      </c>
      <c r="B37" s="88">
        <v>-144.14260869565217</v>
      </c>
      <c r="C37" s="88">
        <v>-132.14261460101866</v>
      </c>
      <c r="D37" s="88">
        <v>-87.22457627118645</v>
      </c>
      <c r="E37" s="88">
        <v>-60.936609686609685</v>
      </c>
      <c r="F37" s="93">
        <v>-426.4223385689354</v>
      </c>
      <c r="G37" s="88">
        <v>-23.954741379310345</v>
      </c>
      <c r="H37" s="88">
        <v>10.906686815262562</v>
      </c>
      <c r="I37" s="88">
        <v>18.90092258323305</v>
      </c>
      <c r="J37" s="88">
        <v>-3.0676126878130217</v>
      </c>
      <c r="K37" s="93">
        <v>0.7558139534883721</v>
      </c>
      <c r="L37" s="88">
        <v>-10.237990304098721</v>
      </c>
      <c r="M37" s="88">
        <v>-43.713768115942024</v>
      </c>
      <c r="N37" s="88">
        <v>67.92983975747076</v>
      </c>
      <c r="O37" s="88">
        <v>17.45313214449017</v>
      </c>
      <c r="P37" s="93">
        <v>33.5427807486631</v>
      </c>
      <c r="Q37" s="88">
        <v>100.625</v>
      </c>
      <c r="R37" s="88">
        <v>62.44624940277114</v>
      </c>
      <c r="S37" s="88">
        <v>63.29567779960708</v>
      </c>
      <c r="T37" s="88">
        <v>94.5444971037388</v>
      </c>
      <c r="U37" s="93">
        <v>320.04442250740374</v>
      </c>
      <c r="V37" s="88">
        <v>162.94652406417111</v>
      </c>
      <c r="W37" s="88">
        <v>60.46394351991931</v>
      </c>
      <c r="X37" s="88">
        <v>48.87673956262426</v>
      </c>
      <c r="Y37" s="88">
        <v>-8.876298394711991</v>
      </c>
      <c r="Z37" s="93">
        <v>252.45368052078118</v>
      </c>
      <c r="AA37" s="88">
        <v>407.2448015122873</v>
      </c>
      <c r="AB37" s="88">
        <v>45.679245283018865</v>
      </c>
      <c r="AC37" s="88">
        <v>25.298472929199445</v>
      </c>
      <c r="AD37" s="88">
        <f t="shared" si="1"/>
        <v>42.77748027549438</v>
      </c>
      <c r="AE37" s="93">
        <v>521</v>
      </c>
      <c r="AF37" s="88">
        <v>66.53907240069948</v>
      </c>
      <c r="AG37" s="88">
        <v>45.16261537246899</v>
      </c>
      <c r="AH37" s="88">
        <v>46.39154671810975</v>
      </c>
      <c r="AI37" s="88">
        <v>52.20360504689993</v>
      </c>
      <c r="AJ37" s="93">
        <v>210.78890097932535</v>
      </c>
      <c r="AK37" s="88">
        <v>65</v>
      </c>
      <c r="AL37" s="88">
        <v>54</v>
      </c>
      <c r="AM37" s="88">
        <v>51</v>
      </c>
      <c r="AN37" s="88">
        <v>54</v>
      </c>
      <c r="AO37" s="93">
        <v>224</v>
      </c>
      <c r="AP37" s="88">
        <v>80</v>
      </c>
      <c r="AQ37" s="88">
        <v>55</v>
      </c>
      <c r="AR37" s="88">
        <v>88</v>
      </c>
      <c r="AS37" s="100">
        <v>222</v>
      </c>
      <c r="AT37" s="88">
        <v>88</v>
      </c>
      <c r="AU37" s="100">
        <v>84</v>
      </c>
      <c r="AV37" s="93">
        <v>309</v>
      </c>
      <c r="AW37" s="101">
        <v>306</v>
      </c>
      <c r="AX37" s="88">
        <v>130</v>
      </c>
      <c r="AY37" s="88">
        <v>96</v>
      </c>
      <c r="AZ37" s="88">
        <v>25</v>
      </c>
      <c r="BA37" s="100">
        <v>25</v>
      </c>
      <c r="BB37" s="100">
        <v>245</v>
      </c>
      <c r="BC37" s="88">
        <v>78</v>
      </c>
      <c r="BD37" s="93">
        <v>323</v>
      </c>
      <c r="BE37" s="372">
        <v>65</v>
      </c>
      <c r="BF37" s="88">
        <v>80</v>
      </c>
      <c r="BG37" s="88">
        <v>21</v>
      </c>
      <c r="BH37" s="88">
        <v>65</v>
      </c>
      <c r="BI37" s="88">
        <v>66</v>
      </c>
      <c r="BJ37" s="93">
        <v>230</v>
      </c>
      <c r="BK37" s="93">
        <v>233</v>
      </c>
      <c r="BL37" s="88">
        <v>93</v>
      </c>
      <c r="BM37" s="88">
        <v>79</v>
      </c>
      <c r="BN37" s="88">
        <v>79</v>
      </c>
      <c r="BO37" s="88">
        <v>82</v>
      </c>
      <c r="BP37" s="88">
        <v>82</v>
      </c>
      <c r="BQ37" s="88">
        <v>56</v>
      </c>
      <c r="BR37" s="93">
        <v>308</v>
      </c>
      <c r="BS37" s="88">
        <v>55</v>
      </c>
      <c r="BT37" s="88">
        <v>35</v>
      </c>
      <c r="BU37" s="88">
        <v>56</v>
      </c>
      <c r="BV37" s="232">
        <v>13</v>
      </c>
      <c r="BW37" s="473">
        <v>159</v>
      </c>
    </row>
    <row r="38" spans="1:73" s="106" customFormat="1" ht="13.5" customHeight="1" hidden="1">
      <c r="A38" s="406" t="s">
        <v>62</v>
      </c>
      <c r="B38" s="106">
        <v>10.128695652173914</v>
      </c>
      <c r="C38" s="106">
        <v>-6.302207130730051</v>
      </c>
      <c r="D38" s="106">
        <v>5.918079096045198</v>
      </c>
      <c r="E38" s="106">
        <v>8.023504273504273</v>
      </c>
      <c r="F38" s="106">
        <v>17.399650959860384</v>
      </c>
      <c r="G38" s="106">
        <v>0.8548850574712644</v>
      </c>
      <c r="H38" s="106">
        <v>11.12202493388742</v>
      </c>
      <c r="I38" s="106">
        <v>13.309265944645006</v>
      </c>
      <c r="J38" s="106">
        <v>-14.156928213689483</v>
      </c>
      <c r="K38" s="106">
        <v>12.046511627906977</v>
      </c>
      <c r="L38" s="106">
        <v>5.583957690612604</v>
      </c>
      <c r="M38" s="106">
        <v>16.09601449275362</v>
      </c>
      <c r="N38" s="106">
        <v>-20.58033780857514</v>
      </c>
      <c r="O38" s="106">
        <v>5.569272976680384</v>
      </c>
      <c r="P38" s="106">
        <v>5.735294117647059</v>
      </c>
      <c r="Q38" s="106">
        <v>18.057692307692307</v>
      </c>
      <c r="R38" s="106">
        <v>16.129956999522214</v>
      </c>
      <c r="S38" s="106">
        <v>19.150294695481335</v>
      </c>
      <c r="T38" s="106">
        <v>40.91627172195892</v>
      </c>
      <c r="U38" s="106">
        <v>92.79861796643632</v>
      </c>
      <c r="V38" s="106">
        <v>51.51336898395722</v>
      </c>
      <c r="W38" s="106">
        <v>18.577912254160363</v>
      </c>
      <c r="X38" s="106">
        <v>0.8250497017892645</v>
      </c>
      <c r="Y38" s="106">
        <v>26.58640226628895</v>
      </c>
      <c r="Z38" s="106">
        <v>95.7135703555333</v>
      </c>
      <c r="AA38" s="106">
        <v>17.263705103969755</v>
      </c>
      <c r="AB38" s="106">
        <v>18.485849056603772</v>
      </c>
      <c r="AC38" s="106">
        <v>25.279962980101807</v>
      </c>
      <c r="AD38" s="106">
        <f t="shared" si="1"/>
        <v>49.970482859324676</v>
      </c>
      <c r="AE38" s="106">
        <v>111</v>
      </c>
      <c r="AF38" s="106">
        <v>65.57338361585786</v>
      </c>
      <c r="AG38" s="106">
        <v>66.15888896149664</v>
      </c>
      <c r="AH38" s="106">
        <v>65.15881282369492</v>
      </c>
      <c r="AI38" s="106">
        <v>23.699725814175743</v>
      </c>
      <c r="AJ38" s="106">
        <v>222.480957562568</v>
      </c>
      <c r="AK38" s="106">
        <v>15</v>
      </c>
      <c r="AL38" s="106">
        <v>-87</v>
      </c>
      <c r="AM38" s="106">
        <v>-1</v>
      </c>
      <c r="AN38" s="106">
        <v>19</v>
      </c>
      <c r="AO38" s="106">
        <v>-44</v>
      </c>
      <c r="AP38" s="106">
        <v>-16</v>
      </c>
      <c r="AQ38" s="106">
        <v>-44</v>
      </c>
      <c r="AR38" s="106">
        <v>7</v>
      </c>
      <c r="AS38" s="300">
        <v>-56</v>
      </c>
      <c r="AT38" s="106">
        <v>-20</v>
      </c>
      <c r="AU38" s="300">
        <v>-19</v>
      </c>
      <c r="AV38" s="106">
        <v>-75</v>
      </c>
      <c r="AW38" s="300">
        <v>-75</v>
      </c>
      <c r="AX38" s="106">
        <v>-11</v>
      </c>
      <c r="AY38" s="106">
        <v>7</v>
      </c>
      <c r="AZ38" s="106">
        <v>28</v>
      </c>
      <c r="BA38" s="300">
        <v>28</v>
      </c>
      <c r="BB38" s="300">
        <v>26</v>
      </c>
      <c r="BC38" s="106">
        <v>-21</v>
      </c>
      <c r="BD38" s="106">
        <v>6</v>
      </c>
      <c r="BE38" s="378"/>
      <c r="BF38" s="106">
        <v>0</v>
      </c>
      <c r="BG38" s="106">
        <v>0</v>
      </c>
      <c r="BM38" s="106">
        <v>0</v>
      </c>
      <c r="BO38" s="106">
        <v>0</v>
      </c>
      <c r="BU38" s="106">
        <v>0</v>
      </c>
    </row>
    <row r="39" spans="1:75" ht="12.75">
      <c r="A39" s="124" t="s">
        <v>195</v>
      </c>
      <c r="B39" s="88">
        <v>-9.509565217391305</v>
      </c>
      <c r="C39" s="88">
        <v>-19.154499151103565</v>
      </c>
      <c r="D39" s="88">
        <v>-26.50776836158192</v>
      </c>
      <c r="E39" s="88">
        <v>-31.96225071225071</v>
      </c>
      <c r="F39" s="93">
        <v>-86.760907504363</v>
      </c>
      <c r="G39" s="88">
        <v>-17.88793103448276</v>
      </c>
      <c r="H39" s="88">
        <v>-24.32187381941821</v>
      </c>
      <c r="I39" s="88">
        <v>-31.881267549137583</v>
      </c>
      <c r="J39" s="88">
        <v>-65.87228714524207</v>
      </c>
      <c r="K39" s="93">
        <v>-136.23643410852713</v>
      </c>
      <c r="L39" s="88">
        <v>-24.649625385632437</v>
      </c>
      <c r="M39" s="88">
        <v>-52.53170289855072</v>
      </c>
      <c r="N39" s="88">
        <v>-38.50584668687743</v>
      </c>
      <c r="O39" s="88">
        <v>-42.44170096021948</v>
      </c>
      <c r="P39" s="93">
        <v>-157.59803921568627</v>
      </c>
      <c r="Q39" s="88">
        <v>-27.028846153846153</v>
      </c>
      <c r="R39" s="88">
        <v>-49.93311036789297</v>
      </c>
      <c r="S39" s="88">
        <v>-41.488212180746565</v>
      </c>
      <c r="T39" s="88">
        <v>-144.58662453923117</v>
      </c>
      <c r="U39" s="93">
        <v>-256.5498519249753</v>
      </c>
      <c r="V39" s="88">
        <v>-67.62032085561498</v>
      </c>
      <c r="W39" s="88">
        <v>-40.31265758951084</v>
      </c>
      <c r="X39" s="88">
        <v>-63.17594433399603</v>
      </c>
      <c r="Y39" s="88">
        <v>-39.83947119924457</v>
      </c>
      <c r="Z39" s="93">
        <v>-209.25388082123186</v>
      </c>
      <c r="AA39" s="88">
        <v>-54.31947069943289</v>
      </c>
      <c r="AB39" s="88">
        <v>-65.68867924528301</v>
      </c>
      <c r="AC39" s="88">
        <v>-46.21471540953262</v>
      </c>
      <c r="AD39" s="88">
        <f t="shared" si="1"/>
        <v>-47.77713464575147</v>
      </c>
      <c r="AE39" s="93">
        <v>-214</v>
      </c>
      <c r="AF39" s="88">
        <v>29.463891688043816</v>
      </c>
      <c r="AG39" s="88">
        <v>-49.60831032319641</v>
      </c>
      <c r="AH39" s="88">
        <v>47.72310034700268</v>
      </c>
      <c r="AI39" s="88">
        <v>121.33640465820746</v>
      </c>
      <c r="AJ39" s="93">
        <v>143.8846572361262</v>
      </c>
      <c r="AK39" s="88">
        <v>-53</v>
      </c>
      <c r="AL39" s="88">
        <v>-32</v>
      </c>
      <c r="AM39" s="88">
        <v>-91</v>
      </c>
      <c r="AN39" s="88">
        <v>-49</v>
      </c>
      <c r="AO39" s="93">
        <v>-223</v>
      </c>
      <c r="AP39" s="88">
        <v>38</v>
      </c>
      <c r="AQ39" s="88">
        <v>51</v>
      </c>
      <c r="AR39" s="88">
        <v>-70</v>
      </c>
      <c r="AS39" s="100">
        <v>19</v>
      </c>
      <c r="AT39" s="88">
        <v>167</v>
      </c>
      <c r="AU39" s="100">
        <v>119</v>
      </c>
      <c r="AV39" s="93">
        <v>181</v>
      </c>
      <c r="AW39" s="101">
        <v>138</v>
      </c>
      <c r="AX39" s="88">
        <v>-62</v>
      </c>
      <c r="AY39" s="88">
        <v>-103</v>
      </c>
      <c r="AZ39" s="88">
        <v>-88</v>
      </c>
      <c r="BA39" s="100">
        <v>-88</v>
      </c>
      <c r="BB39" s="100">
        <v>-255</v>
      </c>
      <c r="BC39" s="88">
        <v>-120</v>
      </c>
      <c r="BD39" s="93">
        <v>-374</v>
      </c>
      <c r="BE39" s="372">
        <v>-62</v>
      </c>
      <c r="BF39" s="88">
        <v>-61</v>
      </c>
      <c r="BG39" s="88">
        <v>-111</v>
      </c>
      <c r="BH39" s="88">
        <v>-95</v>
      </c>
      <c r="BI39" s="88">
        <v>-88</v>
      </c>
      <c r="BJ39" s="93">
        <v>-331</v>
      </c>
      <c r="BK39" s="93">
        <v>-303</v>
      </c>
      <c r="BL39" s="88">
        <v>-106</v>
      </c>
      <c r="BM39" s="88">
        <v>-59</v>
      </c>
      <c r="BN39" s="88">
        <v>-53</v>
      </c>
      <c r="BO39" s="88">
        <v>-50</v>
      </c>
      <c r="BP39" s="88">
        <v>-41</v>
      </c>
      <c r="BQ39" s="88">
        <v>-24</v>
      </c>
      <c r="BR39" s="93">
        <v>-222</v>
      </c>
      <c r="BS39" s="88">
        <v>-52</v>
      </c>
      <c r="BT39" s="88">
        <v>-50</v>
      </c>
      <c r="BU39" s="88">
        <v>-58</v>
      </c>
      <c r="BV39" s="232">
        <v>-93</v>
      </c>
      <c r="BW39" s="473">
        <v>-251</v>
      </c>
    </row>
    <row r="40" spans="1:75" ht="12.75">
      <c r="A40" s="124" t="s">
        <v>450</v>
      </c>
      <c r="B40" s="88">
        <v>20.716521739130435</v>
      </c>
      <c r="C40" s="88">
        <v>-13.745331069609508</v>
      </c>
      <c r="D40" s="88">
        <v>-27.450564971751415</v>
      </c>
      <c r="E40" s="88">
        <v>26.463675213675213</v>
      </c>
      <c r="F40" s="93">
        <v>5.462478184991274</v>
      </c>
      <c r="G40" s="88">
        <v>12.737068965517242</v>
      </c>
      <c r="H40" s="88">
        <v>-13.388741972043825</v>
      </c>
      <c r="I40" s="88">
        <v>-21.556357801845166</v>
      </c>
      <c r="J40" s="88">
        <v>23.714524207011685</v>
      </c>
      <c r="K40" s="93">
        <v>1.2015503875968991</v>
      </c>
      <c r="L40" s="88">
        <v>14.764213309828119</v>
      </c>
      <c r="M40" s="88">
        <v>-24.393115942028984</v>
      </c>
      <c r="N40" s="88">
        <v>-13.083585967951494</v>
      </c>
      <c r="O40" s="88">
        <v>16.236854138088706</v>
      </c>
      <c r="P40" s="93">
        <v>-6.711229946524064</v>
      </c>
      <c r="Q40" s="88">
        <v>34.44230769230769</v>
      </c>
      <c r="R40" s="88">
        <v>-15.967510750119445</v>
      </c>
      <c r="S40" s="88">
        <v>-22.87819253438114</v>
      </c>
      <c r="T40" s="88">
        <v>25.660874144286467</v>
      </c>
      <c r="U40" s="93">
        <v>19.925962487660414</v>
      </c>
      <c r="V40" s="88">
        <v>54.99465240641711</v>
      </c>
      <c r="W40" s="88">
        <v>-22.985375693393845</v>
      </c>
      <c r="X40" s="88">
        <v>-54.47316103379722</v>
      </c>
      <c r="Y40" s="88">
        <v>-2.039660056657224</v>
      </c>
      <c r="Z40" s="93">
        <v>-28.372558838257387</v>
      </c>
      <c r="AA40" s="88">
        <v>67.7882797731569</v>
      </c>
      <c r="AB40" s="88">
        <v>5.169811320754717</v>
      </c>
      <c r="AC40" s="88">
        <v>1.0226746876446091</v>
      </c>
      <c r="AD40" s="88">
        <f t="shared" si="1"/>
        <v>9.01923421844377</v>
      </c>
      <c r="AE40" s="93">
        <v>83</v>
      </c>
      <c r="AF40" s="88">
        <v>-7.377654641182425</v>
      </c>
      <c r="AG40" s="88">
        <v>-10.308149830807526</v>
      </c>
      <c r="AH40" s="88">
        <v>-3.143339714107895</v>
      </c>
      <c r="AI40" s="88">
        <v>14.452590415466148</v>
      </c>
      <c r="AJ40" s="93">
        <v>-7.480957562568008</v>
      </c>
      <c r="AK40" s="88">
        <v>-385</v>
      </c>
      <c r="AL40" s="88">
        <v>-1</v>
      </c>
      <c r="AM40" s="88">
        <v>37</v>
      </c>
      <c r="AN40" s="88">
        <v>22</v>
      </c>
      <c r="AO40" s="93">
        <v>-330</v>
      </c>
      <c r="AP40" s="88">
        <v>-28</v>
      </c>
      <c r="AQ40" s="88">
        <v>44</v>
      </c>
      <c r="AR40" s="88">
        <v>15</v>
      </c>
      <c r="AS40" s="100">
        <v>29</v>
      </c>
      <c r="AT40" s="88">
        <v>-2</v>
      </c>
      <c r="AU40" s="100">
        <v>-1</v>
      </c>
      <c r="AV40" s="93">
        <v>27</v>
      </c>
      <c r="AW40" s="101">
        <v>28</v>
      </c>
      <c r="AX40" s="88">
        <v>-5</v>
      </c>
      <c r="AY40" s="88">
        <v>2</v>
      </c>
      <c r="AZ40" s="88">
        <v>11</v>
      </c>
      <c r="BA40" s="100">
        <v>11</v>
      </c>
      <c r="BB40" s="100">
        <v>10</v>
      </c>
      <c r="BC40" s="88">
        <v>-9</v>
      </c>
      <c r="BD40" s="93">
        <v>1</v>
      </c>
      <c r="BE40" s="372">
        <v>-13</v>
      </c>
      <c r="BF40" s="88">
        <v>-33</v>
      </c>
      <c r="BG40" s="88">
        <v>-19</v>
      </c>
      <c r="BH40" s="88">
        <v>30</v>
      </c>
      <c r="BI40" s="88">
        <v>29</v>
      </c>
      <c r="BJ40" s="93">
        <v>-39</v>
      </c>
      <c r="BK40" s="93">
        <v>-39</v>
      </c>
      <c r="BL40" s="88">
        <v>-20</v>
      </c>
      <c r="BM40" s="88">
        <v>-24</v>
      </c>
      <c r="BN40" s="88">
        <v>-24</v>
      </c>
      <c r="BO40" s="88">
        <v>-41</v>
      </c>
      <c r="BP40" s="88">
        <v>-41</v>
      </c>
      <c r="BQ40" s="88">
        <v>21</v>
      </c>
      <c r="BR40" s="93">
        <v>-58</v>
      </c>
      <c r="BS40" s="88">
        <v>3</v>
      </c>
      <c r="BT40" s="88">
        <v>-49</v>
      </c>
      <c r="BU40" s="88">
        <v>-55</v>
      </c>
      <c r="BV40" s="232">
        <v>26</v>
      </c>
      <c r="BW40" s="473">
        <v>-75</v>
      </c>
    </row>
    <row r="41" spans="1:74" s="108" customFormat="1" ht="13.5" customHeight="1" hidden="1">
      <c r="A41" s="409" t="s">
        <v>424</v>
      </c>
      <c r="B41" s="408">
        <v>10.605217391304361</v>
      </c>
      <c r="C41" s="408">
        <v>-46.977928692699464</v>
      </c>
      <c r="D41" s="408">
        <v>-25.31426553672317</v>
      </c>
      <c r="E41" s="408">
        <v>52.62820512820512</v>
      </c>
      <c r="F41" s="108">
        <v>-11.08900523560207</v>
      </c>
      <c r="G41" s="408">
        <v>43.77155172413792</v>
      </c>
      <c r="H41" s="408">
        <v>109.463543634303</v>
      </c>
      <c r="I41" s="408">
        <v>67.47292418772562</v>
      </c>
      <c r="J41" s="408">
        <v>-3.393155258764615</v>
      </c>
      <c r="K41" s="108">
        <v>221.58527131782944</v>
      </c>
      <c r="L41" s="408">
        <v>124.05024239753195</v>
      </c>
      <c r="M41" s="408">
        <v>1.3224637681159521</v>
      </c>
      <c r="N41" s="408">
        <v>123.98873971416195</v>
      </c>
      <c r="O41" s="408">
        <v>118.89803383630544</v>
      </c>
      <c r="P41" s="108">
        <v>370.1916221033868</v>
      </c>
      <c r="Q41" s="408">
        <v>297.2163461538462</v>
      </c>
      <c r="R41" s="408">
        <v>227.82608695652175</v>
      </c>
      <c r="S41" s="408">
        <v>400.9970530451867</v>
      </c>
      <c r="T41" s="408">
        <v>303.4386519220643</v>
      </c>
      <c r="U41" s="108">
        <v>1227.8923988153997</v>
      </c>
      <c r="V41" s="408">
        <v>494.22459893048125</v>
      </c>
      <c r="W41" s="408">
        <v>390.44377206253154</v>
      </c>
      <c r="X41" s="408">
        <v>347.2216699801193</v>
      </c>
      <c r="Y41" s="408">
        <v>305.61850802644005</v>
      </c>
      <c r="Z41" s="108">
        <v>1524.466700050075</v>
      </c>
      <c r="AA41" s="408">
        <v>734</v>
      </c>
      <c r="AB41" s="408">
        <v>482</v>
      </c>
      <c r="AC41" s="408">
        <v>438.4729291994447</v>
      </c>
      <c r="AD41" s="408">
        <f t="shared" si="1"/>
        <v>221.5270708005553</v>
      </c>
      <c r="AE41" s="108">
        <v>1876</v>
      </c>
      <c r="AF41" s="408">
        <v>389.9098265677693</v>
      </c>
      <c r="AG41" s="408">
        <v>496.8864766784936</v>
      </c>
      <c r="AH41" s="408">
        <v>523.6989508061878</v>
      </c>
      <c r="AI41" s="408">
        <v>532.5960153818469</v>
      </c>
      <c r="AJ41" s="108">
        <v>1934.194776931447</v>
      </c>
      <c r="AK41" s="408">
        <v>389</v>
      </c>
      <c r="AL41" s="408">
        <v>562</v>
      </c>
      <c r="AM41" s="408">
        <v>234</v>
      </c>
      <c r="AN41" s="408">
        <v>32</v>
      </c>
      <c r="AO41" s="108">
        <v>1161</v>
      </c>
      <c r="AP41" s="408">
        <v>298</v>
      </c>
      <c r="AQ41" s="408">
        <v>374</v>
      </c>
      <c r="AR41" s="408">
        <v>216</v>
      </c>
      <c r="AS41" s="410">
        <v>0</v>
      </c>
      <c r="AT41" s="408">
        <v>305</v>
      </c>
      <c r="AU41" s="410"/>
      <c r="AV41" s="108">
        <v>1203</v>
      </c>
      <c r="AW41" s="308"/>
      <c r="AX41" s="408">
        <v>305.9</v>
      </c>
      <c r="AY41" s="408">
        <v>275</v>
      </c>
      <c r="AZ41" s="408">
        <v>439</v>
      </c>
      <c r="BA41" s="410"/>
      <c r="BB41" s="410">
        <v>847</v>
      </c>
      <c r="BC41" s="408"/>
      <c r="BE41" s="407"/>
      <c r="BF41" s="408"/>
      <c r="BG41" s="408"/>
      <c r="BH41" s="408"/>
      <c r="BI41" s="408"/>
      <c r="BL41" s="408"/>
      <c r="BM41" s="408"/>
      <c r="BN41" s="408"/>
      <c r="BO41" s="408"/>
      <c r="BP41" s="408"/>
      <c r="BQ41" s="408"/>
      <c r="BS41" s="408"/>
      <c r="BT41" s="408"/>
      <c r="BU41" s="408"/>
      <c r="BV41" s="408"/>
    </row>
    <row r="42" spans="1:74" s="108" customFormat="1" ht="12.75" hidden="1">
      <c r="A42" s="406" t="s">
        <v>437</v>
      </c>
      <c r="B42" s="408"/>
      <c r="C42" s="408"/>
      <c r="D42" s="408"/>
      <c r="E42" s="408"/>
      <c r="G42" s="408"/>
      <c r="H42" s="408"/>
      <c r="I42" s="408"/>
      <c r="J42" s="408"/>
      <c r="L42" s="408"/>
      <c r="M42" s="408"/>
      <c r="N42" s="408"/>
      <c r="O42" s="408"/>
      <c r="Q42" s="408"/>
      <c r="R42" s="408"/>
      <c r="S42" s="408"/>
      <c r="T42" s="408"/>
      <c r="V42" s="408"/>
      <c r="W42" s="408"/>
      <c r="X42" s="408"/>
      <c r="Y42" s="408"/>
      <c r="AA42" s="408"/>
      <c r="AB42" s="408"/>
      <c r="AC42" s="408"/>
      <c r="AD42" s="408"/>
      <c r="AF42" s="408"/>
      <c r="AG42" s="408"/>
      <c r="AH42" s="408"/>
      <c r="AI42" s="408"/>
      <c r="AK42" s="408"/>
      <c r="AL42" s="408"/>
      <c r="AM42" s="408"/>
      <c r="AN42" s="408"/>
      <c r="AP42" s="408"/>
      <c r="AQ42" s="408"/>
      <c r="AR42" s="105">
        <v>-44</v>
      </c>
      <c r="AS42" s="411">
        <v>0</v>
      </c>
      <c r="AT42" s="105">
        <v>36</v>
      </c>
      <c r="AU42" s="411"/>
      <c r="AV42" s="108">
        <v>-8</v>
      </c>
      <c r="AW42" s="308"/>
      <c r="AX42" s="408">
        <v>-59</v>
      </c>
      <c r="AY42" s="408">
        <v>-62</v>
      </c>
      <c r="AZ42" s="408">
        <v>-58</v>
      </c>
      <c r="BA42" s="410"/>
      <c r="BB42" s="410"/>
      <c r="BC42" s="408"/>
      <c r="BE42" s="407"/>
      <c r="BF42" s="408"/>
      <c r="BG42" s="408"/>
      <c r="BH42" s="408"/>
      <c r="BI42" s="408"/>
      <c r="BL42" s="408"/>
      <c r="BM42" s="408"/>
      <c r="BN42" s="408"/>
      <c r="BO42" s="408"/>
      <c r="BP42" s="408"/>
      <c r="BQ42" s="408"/>
      <c r="BS42" s="408"/>
      <c r="BT42" s="408"/>
      <c r="BU42" s="408"/>
      <c r="BV42" s="408"/>
    </row>
    <row r="43" spans="1:75" s="116" customFormat="1" ht="12.75">
      <c r="A43" s="104" t="s">
        <v>425</v>
      </c>
      <c r="B43" s="96"/>
      <c r="C43" s="96"/>
      <c r="D43" s="96"/>
      <c r="E43" s="96"/>
      <c r="F43" s="97"/>
      <c r="G43" s="96"/>
      <c r="H43" s="96"/>
      <c r="I43" s="96"/>
      <c r="J43" s="96"/>
      <c r="K43" s="97"/>
      <c r="L43" s="96"/>
      <c r="M43" s="96"/>
      <c r="N43" s="96"/>
      <c r="O43" s="96"/>
      <c r="P43" s="97"/>
      <c r="Q43" s="96"/>
      <c r="R43" s="96"/>
      <c r="S43" s="96"/>
      <c r="T43" s="96"/>
      <c r="U43" s="97"/>
      <c r="V43" s="96">
        <v>494.22459893048125</v>
      </c>
      <c r="W43" s="96">
        <v>390.44377206253154</v>
      </c>
      <c r="X43" s="96">
        <v>347.2216699801193</v>
      </c>
      <c r="Y43" s="96">
        <v>305.61850802644005</v>
      </c>
      <c r="Z43" s="97">
        <v>1524.466700050075</v>
      </c>
      <c r="AA43" s="96">
        <v>734</v>
      </c>
      <c r="AB43" s="96">
        <v>482</v>
      </c>
      <c r="AC43" s="96">
        <v>438.4729291994447</v>
      </c>
      <c r="AD43" s="96">
        <f>AE43-AC43-AB43-AA43</f>
        <v>221.5270708005553</v>
      </c>
      <c r="AE43" s="97">
        <v>1876</v>
      </c>
      <c r="AF43" s="96">
        <v>389.9098265677693</v>
      </c>
      <c r="AG43" s="96">
        <v>496.8864766784936</v>
      </c>
      <c r="AH43" s="96">
        <v>523.6989508061878</v>
      </c>
      <c r="AI43" s="96">
        <v>532.5960153818469</v>
      </c>
      <c r="AJ43" s="97">
        <v>1934.194776931447</v>
      </c>
      <c r="AK43" s="96">
        <v>389</v>
      </c>
      <c r="AL43" s="96">
        <v>562</v>
      </c>
      <c r="AM43" s="96">
        <v>234</v>
      </c>
      <c r="AN43" s="96">
        <v>32</v>
      </c>
      <c r="AO43" s="97">
        <v>1161</v>
      </c>
      <c r="AP43" s="96">
        <v>298</v>
      </c>
      <c r="AQ43" s="96">
        <v>374</v>
      </c>
      <c r="AR43" s="96">
        <v>172</v>
      </c>
      <c r="AS43" s="294">
        <v>857</v>
      </c>
      <c r="AT43" s="96">
        <v>341</v>
      </c>
      <c r="AU43" s="294">
        <v>292</v>
      </c>
      <c r="AV43" s="97">
        <v>1195</v>
      </c>
      <c r="AW43" s="291">
        <v>1149</v>
      </c>
      <c r="AX43" s="96">
        <v>246.9</v>
      </c>
      <c r="AY43" s="96">
        <v>213</v>
      </c>
      <c r="AZ43" s="96">
        <v>381</v>
      </c>
      <c r="BA43" s="294">
        <v>381</v>
      </c>
      <c r="BB43" s="294">
        <v>847</v>
      </c>
      <c r="BC43" s="96">
        <v>310</v>
      </c>
      <c r="BD43" s="97">
        <v>1156.2</v>
      </c>
      <c r="BE43" s="373">
        <v>248</v>
      </c>
      <c r="BF43" s="96">
        <v>214</v>
      </c>
      <c r="BG43" s="96">
        <v>382</v>
      </c>
      <c r="BH43" s="96">
        <v>302</v>
      </c>
      <c r="BI43" s="96">
        <v>309</v>
      </c>
      <c r="BJ43" s="97">
        <v>1149</v>
      </c>
      <c r="BK43" s="97">
        <v>1180</v>
      </c>
      <c r="BL43" s="96">
        <v>548</v>
      </c>
      <c r="BM43" s="96">
        <v>424</v>
      </c>
      <c r="BN43" s="96">
        <v>430</v>
      </c>
      <c r="BO43" s="96">
        <v>261</v>
      </c>
      <c r="BP43" s="96">
        <v>270</v>
      </c>
      <c r="BQ43" s="96">
        <v>52</v>
      </c>
      <c r="BR43" s="97">
        <v>1260</v>
      </c>
      <c r="BS43" s="96">
        <v>368</v>
      </c>
      <c r="BT43" s="96">
        <v>5</v>
      </c>
      <c r="BU43" s="96">
        <v>455</v>
      </c>
      <c r="BV43" s="96">
        <f>SUM(BV35:BV40)</f>
        <v>151</v>
      </c>
      <c r="BW43" s="97">
        <f>SUM(BW35:BW40)</f>
        <v>978</v>
      </c>
    </row>
    <row r="44" ht="14.25">
      <c r="A44" s="412" t="s">
        <v>532</v>
      </c>
    </row>
    <row r="45" ht="12.75">
      <c r="A45" s="128"/>
    </row>
    <row r="46" ht="12.75"/>
    <row r="47" spans="1:75" ht="25.5">
      <c r="A47" s="89" t="s">
        <v>531</v>
      </c>
      <c r="B47" s="90" t="s">
        <v>2</v>
      </c>
      <c r="C47" s="90" t="s">
        <v>3</v>
      </c>
      <c r="D47" s="90" t="s">
        <v>4</v>
      </c>
      <c r="E47" s="90" t="s">
        <v>5</v>
      </c>
      <c r="F47" s="90" t="s">
        <v>6</v>
      </c>
      <c r="G47" s="90" t="s">
        <v>12</v>
      </c>
      <c r="H47" s="90" t="s">
        <v>13</v>
      </c>
      <c r="I47" s="90" t="s">
        <v>14</v>
      </c>
      <c r="J47" s="90" t="s">
        <v>15</v>
      </c>
      <c r="K47" s="90" t="s">
        <v>16</v>
      </c>
      <c r="L47" s="90" t="s">
        <v>17</v>
      </c>
      <c r="M47" s="90" t="s">
        <v>18</v>
      </c>
      <c r="N47" s="90" t="s">
        <v>19</v>
      </c>
      <c r="O47" s="90" t="s">
        <v>20</v>
      </c>
      <c r="P47" s="90" t="s">
        <v>21</v>
      </c>
      <c r="Q47" s="90" t="s">
        <v>22</v>
      </c>
      <c r="R47" s="90" t="s">
        <v>23</v>
      </c>
      <c r="S47" s="90" t="s">
        <v>24</v>
      </c>
      <c r="T47" s="90" t="s">
        <v>25</v>
      </c>
      <c r="U47" s="90" t="s">
        <v>26</v>
      </c>
      <c r="V47" s="90" t="s">
        <v>27</v>
      </c>
      <c r="W47" s="90" t="s">
        <v>28</v>
      </c>
      <c r="X47" s="90" t="s">
        <v>29</v>
      </c>
      <c r="Y47" s="90" t="s">
        <v>30</v>
      </c>
      <c r="Z47" s="90" t="s">
        <v>31</v>
      </c>
      <c r="AA47" s="90" t="s">
        <v>32</v>
      </c>
      <c r="AB47" s="90" t="s">
        <v>33</v>
      </c>
      <c r="AC47" s="90" t="s">
        <v>34</v>
      </c>
      <c r="AD47" s="90" t="s">
        <v>271</v>
      </c>
      <c r="AE47" s="90" t="s">
        <v>272</v>
      </c>
      <c r="AF47" s="90" t="s">
        <v>274</v>
      </c>
      <c r="AG47" s="90" t="s">
        <v>276</v>
      </c>
      <c r="AH47" s="90" t="s">
        <v>278</v>
      </c>
      <c r="AI47" s="120" t="s">
        <v>280</v>
      </c>
      <c r="AJ47" s="120" t="s">
        <v>281</v>
      </c>
      <c r="AK47" s="120" t="s">
        <v>289</v>
      </c>
      <c r="AL47" s="120" t="s">
        <v>290</v>
      </c>
      <c r="AM47" s="120" t="s">
        <v>291</v>
      </c>
      <c r="AN47" s="120" t="s">
        <v>292</v>
      </c>
      <c r="AO47" s="120" t="s">
        <v>293</v>
      </c>
      <c r="AP47" s="120" t="s">
        <v>329</v>
      </c>
      <c r="AQ47" s="120" t="s">
        <v>330</v>
      </c>
      <c r="AR47" s="120" t="s">
        <v>331</v>
      </c>
      <c r="AS47" s="311" t="s">
        <v>490</v>
      </c>
      <c r="AT47" s="120" t="s">
        <v>332</v>
      </c>
      <c r="AU47" s="311" t="s">
        <v>477</v>
      </c>
      <c r="AV47" s="120" t="s">
        <v>333</v>
      </c>
      <c r="AW47" s="311" t="s">
        <v>463</v>
      </c>
      <c r="AX47" s="120" t="s">
        <v>448</v>
      </c>
      <c r="AY47" s="120" t="s">
        <v>451</v>
      </c>
      <c r="AZ47" s="120" t="s">
        <v>453</v>
      </c>
      <c r="BA47" s="311" t="s">
        <v>461</v>
      </c>
      <c r="BB47" s="289" t="s">
        <v>480</v>
      </c>
      <c r="BC47" s="120" t="s">
        <v>454</v>
      </c>
      <c r="BD47" s="120" t="s">
        <v>457</v>
      </c>
      <c r="BE47" s="342" t="s">
        <v>492</v>
      </c>
      <c r="BF47" s="7" t="s">
        <v>553</v>
      </c>
      <c r="BG47" s="7" t="s">
        <v>560</v>
      </c>
      <c r="BH47" s="7" t="s">
        <v>493</v>
      </c>
      <c r="BI47" s="7" t="s">
        <v>582</v>
      </c>
      <c r="BJ47" s="90" t="s">
        <v>494</v>
      </c>
      <c r="BK47" s="90" t="s">
        <v>573</v>
      </c>
      <c r="BL47" s="7" t="s">
        <v>600</v>
      </c>
      <c r="BM47" s="7" t="s">
        <v>554</v>
      </c>
      <c r="BN47" s="7" t="s">
        <v>611</v>
      </c>
      <c r="BO47" s="7" t="s">
        <v>561</v>
      </c>
      <c r="BP47" s="7" t="s">
        <v>572</v>
      </c>
      <c r="BQ47" s="7" t="s">
        <v>570</v>
      </c>
      <c r="BR47" s="90" t="s">
        <v>574</v>
      </c>
      <c r="BS47" s="7" t="s">
        <v>595</v>
      </c>
      <c r="BT47" s="7" t="s">
        <v>605</v>
      </c>
      <c r="BU47" s="7" t="s">
        <v>617</v>
      </c>
      <c r="BV47" s="7" t="s">
        <v>619</v>
      </c>
      <c r="BW47" s="120" t="s">
        <v>620</v>
      </c>
    </row>
    <row r="48" spans="1:75" ht="12.75">
      <c r="A48" s="131" t="s">
        <v>524</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7"/>
      <c r="AJ48" s="127"/>
      <c r="AK48" s="127"/>
      <c r="AL48" s="127"/>
      <c r="AM48" s="127"/>
      <c r="AN48" s="127"/>
      <c r="AO48" s="127"/>
      <c r="AP48" s="127"/>
      <c r="AQ48" s="127"/>
      <c r="AR48" s="127"/>
      <c r="AS48" s="303"/>
      <c r="AT48" s="127"/>
      <c r="AU48" s="303"/>
      <c r="AV48" s="127"/>
      <c r="AW48" s="303"/>
      <c r="AX48" s="127"/>
      <c r="AY48" s="127"/>
      <c r="AZ48" s="127"/>
      <c r="BA48" s="303"/>
      <c r="BB48" s="303"/>
      <c r="BC48" s="127"/>
      <c r="BD48" s="127"/>
      <c r="BE48" s="382"/>
      <c r="BF48" s="127"/>
      <c r="BG48" s="127"/>
      <c r="BH48" s="127"/>
      <c r="BI48" s="127"/>
      <c r="BJ48" s="127"/>
      <c r="BK48" s="127"/>
      <c r="BL48" s="127"/>
      <c r="BM48" s="127"/>
      <c r="BN48" s="127"/>
      <c r="BO48" s="127"/>
      <c r="BP48" s="127"/>
      <c r="BQ48" s="127"/>
      <c r="BR48" s="127"/>
      <c r="BS48" s="127"/>
      <c r="BT48" s="127"/>
      <c r="BU48" s="127"/>
      <c r="BV48" s="127"/>
      <c r="BW48" s="127"/>
    </row>
    <row r="49" spans="1:75" ht="12.75">
      <c r="A49" s="139" t="s">
        <v>518</v>
      </c>
      <c r="B49" s="88">
        <v>13.502608695652174</v>
      </c>
      <c r="C49" s="88">
        <v>13.01867572156197</v>
      </c>
      <c r="D49" s="88">
        <v>17.28813559322034</v>
      </c>
      <c r="E49" s="88">
        <v>26.121794871794872</v>
      </c>
      <c r="F49" s="93">
        <v>69.62303664921465</v>
      </c>
      <c r="G49" s="88">
        <v>14.680316091954024</v>
      </c>
      <c r="H49" s="88">
        <v>17.208160181337362</v>
      </c>
      <c r="I49" s="88">
        <v>15.238668271159245</v>
      </c>
      <c r="J49" s="88">
        <v>22.26627712854758</v>
      </c>
      <c r="K49" s="93">
        <v>68.89922480620154</v>
      </c>
      <c r="L49" s="88">
        <v>25.795504627589246</v>
      </c>
      <c r="M49" s="88">
        <v>20.73369565217391</v>
      </c>
      <c r="N49" s="88">
        <v>21.3382416630576</v>
      </c>
      <c r="O49" s="88">
        <v>26.01737540009145</v>
      </c>
      <c r="P49" s="93">
        <v>93.79679144385027</v>
      </c>
      <c r="Q49" s="88">
        <v>26.89903846153846</v>
      </c>
      <c r="R49" s="88">
        <v>27.907310081223123</v>
      </c>
      <c r="S49" s="88">
        <v>28.49705304518664</v>
      </c>
      <c r="T49" s="88">
        <v>28.135860979462873</v>
      </c>
      <c r="U49" s="93">
        <v>111.45607107601185</v>
      </c>
      <c r="V49" s="88">
        <v>34.44919786096256</v>
      </c>
      <c r="W49" s="88">
        <v>32.602118003025716</v>
      </c>
      <c r="X49" s="88">
        <v>26.97813121272366</v>
      </c>
      <c r="Y49" s="88">
        <v>62.86591123701605</v>
      </c>
      <c r="Z49" s="93">
        <v>158.4877315973961</v>
      </c>
      <c r="AA49" s="88">
        <v>34.636105860113425</v>
      </c>
      <c r="AB49" s="88">
        <v>43.429245283018865</v>
      </c>
      <c r="AC49" s="88">
        <v>35.58537714021286</v>
      </c>
      <c r="AD49" s="88">
        <f aca="true" t="shared" si="2" ref="AD49:AD55">AE49-AC49-AB49-AA49</f>
        <v>58.34927171665483</v>
      </c>
      <c r="AE49" s="93">
        <v>172</v>
      </c>
      <c r="AF49" s="88">
        <v>51</v>
      </c>
      <c r="AG49" s="88">
        <v>36</v>
      </c>
      <c r="AH49" s="88">
        <v>76</v>
      </c>
      <c r="AI49" s="88">
        <v>57</v>
      </c>
      <c r="AJ49" s="93">
        <v>220</v>
      </c>
      <c r="AK49" s="88">
        <v>41</v>
      </c>
      <c r="AL49" s="88">
        <v>42</v>
      </c>
      <c r="AM49" s="88">
        <v>67</v>
      </c>
      <c r="AN49" s="88">
        <v>63</v>
      </c>
      <c r="AO49" s="93">
        <v>214</v>
      </c>
      <c r="AP49" s="88">
        <v>45</v>
      </c>
      <c r="AQ49" s="88">
        <v>61</v>
      </c>
      <c r="AR49" s="88">
        <v>112</v>
      </c>
      <c r="AS49" s="100">
        <v>209</v>
      </c>
      <c r="AT49" s="88">
        <v>146</v>
      </c>
      <c r="AU49" s="100">
        <v>125</v>
      </c>
      <c r="AV49" s="93">
        <v>352</v>
      </c>
      <c r="AW49" s="101">
        <v>334</v>
      </c>
      <c r="AX49" s="88">
        <v>177</v>
      </c>
      <c r="AY49" s="88">
        <v>128</v>
      </c>
      <c r="AZ49" s="88">
        <v>133</v>
      </c>
      <c r="BA49" s="100">
        <v>133</v>
      </c>
      <c r="BB49" s="100">
        <v>434</v>
      </c>
      <c r="BC49" s="88">
        <v>180</v>
      </c>
      <c r="BD49" s="93">
        <v>613</v>
      </c>
      <c r="BE49" s="372">
        <v>177</v>
      </c>
      <c r="BF49" s="88">
        <v>128</v>
      </c>
      <c r="BG49" s="88">
        <v>133</v>
      </c>
      <c r="BH49" s="88">
        <v>180</v>
      </c>
      <c r="BI49" s="88">
        <v>180</v>
      </c>
      <c r="BJ49" s="93">
        <v>613</v>
      </c>
      <c r="BK49" s="93">
        <v>613</v>
      </c>
      <c r="BL49" s="88">
        <v>159</v>
      </c>
      <c r="BM49" s="88">
        <v>220</v>
      </c>
      <c r="BN49" s="88">
        <v>220</v>
      </c>
      <c r="BO49" s="88">
        <v>205</v>
      </c>
      <c r="BP49" s="88">
        <v>205</v>
      </c>
      <c r="BQ49" s="88">
        <v>186</v>
      </c>
      <c r="BR49" s="93">
        <v>768</v>
      </c>
      <c r="BS49" s="88">
        <v>145</v>
      </c>
      <c r="BT49" s="88">
        <v>151</v>
      </c>
      <c r="BU49" s="88">
        <v>120</v>
      </c>
      <c r="BV49" s="232">
        <v>239</v>
      </c>
      <c r="BW49" s="473">
        <v>653</v>
      </c>
    </row>
    <row r="50" spans="1:75" ht="12.75">
      <c r="A50" s="139" t="s">
        <v>517</v>
      </c>
      <c r="B50" s="88">
        <v>22.024347826086956</v>
      </c>
      <c r="C50" s="88">
        <v>22.074702886247877</v>
      </c>
      <c r="D50" s="88">
        <v>23.029661016949152</v>
      </c>
      <c r="E50" s="88">
        <v>25.256410256410255</v>
      </c>
      <c r="F50" s="93">
        <v>92.3106457242583</v>
      </c>
      <c r="G50" s="88">
        <v>23.61350574712644</v>
      </c>
      <c r="H50" s="88">
        <v>25.391008689081982</v>
      </c>
      <c r="I50" s="88">
        <v>27.352587244283995</v>
      </c>
      <c r="J50" s="88">
        <v>29.507512520868115</v>
      </c>
      <c r="K50" s="93">
        <v>105.36434108527132</v>
      </c>
      <c r="L50" s="88">
        <v>28.364918466284706</v>
      </c>
      <c r="M50" s="88">
        <v>50.21286231884058</v>
      </c>
      <c r="N50" s="88">
        <v>49.27674317886531</v>
      </c>
      <c r="O50" s="88">
        <v>55.459533607681756</v>
      </c>
      <c r="P50" s="93">
        <v>182.84313725490196</v>
      </c>
      <c r="Q50" s="88">
        <v>56.54326923076923</v>
      </c>
      <c r="R50" s="88">
        <v>62.847587195413276</v>
      </c>
      <c r="S50" s="88">
        <v>57.95677799607073</v>
      </c>
      <c r="T50" s="88">
        <v>102.46445497630332</v>
      </c>
      <c r="U50" s="93">
        <v>277.26061204343534</v>
      </c>
      <c r="V50" s="88">
        <v>68.9572192513369</v>
      </c>
      <c r="W50" s="88">
        <v>73.07110438729198</v>
      </c>
      <c r="X50" s="88">
        <v>68.26043737574552</v>
      </c>
      <c r="Y50" s="88">
        <v>95.78847969782814</v>
      </c>
      <c r="Z50" s="93">
        <v>307.49624436654983</v>
      </c>
      <c r="AA50" s="88">
        <v>74.98109640831758</v>
      </c>
      <c r="AB50" s="88">
        <v>73</v>
      </c>
      <c r="AC50" s="88">
        <v>73.28088847755669</v>
      </c>
      <c r="AD50" s="88">
        <f t="shared" si="2"/>
        <v>73.73801511412573</v>
      </c>
      <c r="AE50" s="93">
        <v>295</v>
      </c>
      <c r="AF50" s="88">
        <v>81</v>
      </c>
      <c r="AG50" s="88">
        <v>87</v>
      </c>
      <c r="AH50" s="88">
        <v>86</v>
      </c>
      <c r="AI50" s="88">
        <v>91</v>
      </c>
      <c r="AJ50" s="93">
        <v>344</v>
      </c>
      <c r="AK50" s="88">
        <v>102</v>
      </c>
      <c r="AL50" s="88">
        <v>109</v>
      </c>
      <c r="AM50" s="88">
        <v>117</v>
      </c>
      <c r="AN50" s="88">
        <v>107</v>
      </c>
      <c r="AO50" s="93">
        <v>434</v>
      </c>
      <c r="AP50" s="88">
        <v>88</v>
      </c>
      <c r="AQ50" s="88">
        <v>104</v>
      </c>
      <c r="AR50" s="88">
        <v>126</v>
      </c>
      <c r="AS50" s="100">
        <v>313</v>
      </c>
      <c r="AT50" s="88">
        <v>160</v>
      </c>
      <c r="AU50" s="100">
        <v>150</v>
      </c>
      <c r="AV50" s="93">
        <v>470</v>
      </c>
      <c r="AW50" s="101">
        <v>463</v>
      </c>
      <c r="AX50" s="88">
        <v>121</v>
      </c>
      <c r="AY50" s="88">
        <v>111</v>
      </c>
      <c r="AZ50" s="88">
        <v>114</v>
      </c>
      <c r="BA50" s="100">
        <v>114</v>
      </c>
      <c r="BB50" s="100">
        <v>346</v>
      </c>
      <c r="BC50" s="88">
        <v>130</v>
      </c>
      <c r="BD50" s="93">
        <v>475</v>
      </c>
      <c r="BE50" s="372">
        <v>146</v>
      </c>
      <c r="BF50" s="88">
        <v>132</v>
      </c>
      <c r="BG50" s="88">
        <v>136</v>
      </c>
      <c r="BH50" s="88">
        <v>154</v>
      </c>
      <c r="BI50" s="88">
        <v>156</v>
      </c>
      <c r="BJ50" s="93">
        <v>567</v>
      </c>
      <c r="BK50" s="93">
        <v>574</v>
      </c>
      <c r="BL50" s="88">
        <v>139</v>
      </c>
      <c r="BM50" s="88">
        <v>152</v>
      </c>
      <c r="BN50" s="88">
        <v>184</v>
      </c>
      <c r="BO50" s="88">
        <v>146</v>
      </c>
      <c r="BP50" s="88">
        <v>150</v>
      </c>
      <c r="BQ50" s="88">
        <v>307</v>
      </c>
      <c r="BR50" s="93">
        <v>797</v>
      </c>
      <c r="BS50" s="88">
        <v>140</v>
      </c>
      <c r="BT50" s="88">
        <v>137</v>
      </c>
      <c r="BU50" s="88">
        <v>140</v>
      </c>
      <c r="BV50" s="232">
        <v>188</v>
      </c>
      <c r="BW50" s="473">
        <v>604</v>
      </c>
    </row>
    <row r="51" spans="1:75" ht="12.75">
      <c r="A51" s="139" t="s">
        <v>516</v>
      </c>
      <c r="B51" s="88">
        <v>9.544347826086957</v>
      </c>
      <c r="C51" s="88">
        <v>8.66893039049236</v>
      </c>
      <c r="D51" s="88">
        <v>10.211864406779661</v>
      </c>
      <c r="E51" s="88">
        <v>17.464387464387464</v>
      </c>
      <c r="F51" s="93">
        <v>45.69982547993019</v>
      </c>
      <c r="G51" s="88">
        <v>9.608477011494253</v>
      </c>
      <c r="H51" s="88">
        <v>10.173781639591992</v>
      </c>
      <c r="I51" s="88">
        <v>10.93461692739671</v>
      </c>
      <c r="J51" s="88">
        <v>13.25542570951586</v>
      </c>
      <c r="K51" s="93">
        <v>43.68217054263566</v>
      </c>
      <c r="L51" s="88">
        <v>13.177611282503305</v>
      </c>
      <c r="M51" s="88">
        <v>12.146739130434781</v>
      </c>
      <c r="N51" s="88">
        <v>11.000433087916846</v>
      </c>
      <c r="O51" s="88">
        <v>12.414266117969822</v>
      </c>
      <c r="P51" s="93">
        <v>48.694295900178254</v>
      </c>
      <c r="Q51" s="88">
        <v>11.028846153846153</v>
      </c>
      <c r="R51" s="88">
        <v>2.9001433349259433</v>
      </c>
      <c r="S51" s="88">
        <v>6.679764243614931</v>
      </c>
      <c r="T51" s="88">
        <v>12.285413375460768</v>
      </c>
      <c r="U51" s="93">
        <v>32.54689042448174</v>
      </c>
      <c r="V51" s="88">
        <v>8.197860962566844</v>
      </c>
      <c r="W51" s="88">
        <v>7.907211296016137</v>
      </c>
      <c r="X51" s="88">
        <v>8.190854870775349</v>
      </c>
      <c r="Y51" s="88">
        <v>9.896128423040604</v>
      </c>
      <c r="Z51" s="93">
        <v>34.2764146219329</v>
      </c>
      <c r="AA51" s="88">
        <v>9.305293005671079</v>
      </c>
      <c r="AB51" s="88">
        <v>6.311320754716981</v>
      </c>
      <c r="AC51" s="88">
        <v>7.561314206385933</v>
      </c>
      <c r="AD51" s="88">
        <f t="shared" si="2"/>
        <v>8.822072033226007</v>
      </c>
      <c r="AE51" s="93">
        <v>32</v>
      </c>
      <c r="AF51" s="88">
        <v>9</v>
      </c>
      <c r="AG51" s="88">
        <v>9</v>
      </c>
      <c r="AH51" s="88">
        <v>9</v>
      </c>
      <c r="AI51" s="88">
        <v>13</v>
      </c>
      <c r="AJ51" s="93">
        <v>40</v>
      </c>
      <c r="AK51" s="88">
        <v>12</v>
      </c>
      <c r="AL51" s="88">
        <v>14</v>
      </c>
      <c r="AM51" s="88">
        <v>16</v>
      </c>
      <c r="AN51" s="88">
        <v>15</v>
      </c>
      <c r="AO51" s="93">
        <v>58</v>
      </c>
      <c r="AP51" s="88">
        <v>11</v>
      </c>
      <c r="AQ51" s="88">
        <v>12</v>
      </c>
      <c r="AR51" s="88">
        <v>15</v>
      </c>
      <c r="AS51" s="100">
        <v>43</v>
      </c>
      <c r="AT51" s="88">
        <v>28</v>
      </c>
      <c r="AU51" s="100">
        <v>35</v>
      </c>
      <c r="AV51" s="93">
        <v>64</v>
      </c>
      <c r="AW51" s="101">
        <v>78</v>
      </c>
      <c r="AX51" s="88">
        <v>25</v>
      </c>
      <c r="AY51" s="88">
        <v>25</v>
      </c>
      <c r="AZ51" s="88">
        <v>22</v>
      </c>
      <c r="BA51" s="100">
        <v>22</v>
      </c>
      <c r="BB51" s="100">
        <v>72</v>
      </c>
      <c r="BC51" s="88">
        <v>22</v>
      </c>
      <c r="BD51" s="93">
        <v>95</v>
      </c>
      <c r="BE51" s="372">
        <v>23</v>
      </c>
      <c r="BF51" s="88">
        <v>24</v>
      </c>
      <c r="BG51" s="88">
        <v>21</v>
      </c>
      <c r="BH51" s="88">
        <v>23</v>
      </c>
      <c r="BI51" s="88">
        <v>23</v>
      </c>
      <c r="BJ51" s="93">
        <v>91</v>
      </c>
      <c r="BK51" s="93">
        <v>91</v>
      </c>
      <c r="BL51" s="88">
        <v>23</v>
      </c>
      <c r="BM51" s="88">
        <v>23</v>
      </c>
      <c r="BN51" s="88">
        <v>23</v>
      </c>
      <c r="BO51" s="88">
        <v>23</v>
      </c>
      <c r="BP51" s="88">
        <v>23</v>
      </c>
      <c r="BQ51" s="88">
        <v>29</v>
      </c>
      <c r="BR51" s="93">
        <v>99</v>
      </c>
      <c r="BS51" s="88">
        <v>24</v>
      </c>
      <c r="BT51" s="88">
        <v>24</v>
      </c>
      <c r="BU51" s="88">
        <v>23</v>
      </c>
      <c r="BV51" s="232">
        <v>29</v>
      </c>
      <c r="BW51" s="473">
        <v>99</v>
      </c>
    </row>
    <row r="52" spans="1:73" s="106" customFormat="1" ht="12.75" hidden="1">
      <c r="A52" s="406" t="s">
        <v>62</v>
      </c>
      <c r="B52" s="106">
        <v>11.742608695652175</v>
      </c>
      <c r="C52" s="106">
        <v>7.500848896434635</v>
      </c>
      <c r="D52" s="106">
        <v>9.403248587570621</v>
      </c>
      <c r="E52" s="106">
        <v>8.18019943019943</v>
      </c>
      <c r="F52" s="106">
        <v>36.80628272251309</v>
      </c>
      <c r="G52" s="106">
        <v>8.283045977011495</v>
      </c>
      <c r="H52" s="106">
        <v>7.408386853041179</v>
      </c>
      <c r="I52" s="106">
        <v>9.265944645006016</v>
      </c>
      <c r="J52" s="106">
        <v>10.275459098497496</v>
      </c>
      <c r="K52" s="106">
        <v>35.03488372093023</v>
      </c>
      <c r="L52" s="106">
        <v>9.598942265315117</v>
      </c>
      <c r="M52" s="106">
        <v>12.721920289855072</v>
      </c>
      <c r="N52" s="106">
        <v>13.984408834993504</v>
      </c>
      <c r="O52" s="106">
        <v>22.857796067672613</v>
      </c>
      <c r="P52" s="106">
        <v>58.8903743315508</v>
      </c>
      <c r="Q52" s="106">
        <v>13.461538461538462</v>
      </c>
      <c r="R52" s="106">
        <v>14.089823220258003</v>
      </c>
      <c r="S52" s="106">
        <v>14.63163064833006</v>
      </c>
      <c r="T52" s="106">
        <v>18.767772511848342</v>
      </c>
      <c r="U52" s="106">
        <v>60.67127344521224</v>
      </c>
      <c r="V52" s="106">
        <v>17.9572192513369</v>
      </c>
      <c r="W52" s="106">
        <v>18.850226928895612</v>
      </c>
      <c r="X52" s="106">
        <v>19.637176938369784</v>
      </c>
      <c r="Y52" s="106">
        <v>14.022662889518413</v>
      </c>
      <c r="Z52" s="106">
        <v>70.19028542814222</v>
      </c>
      <c r="AA52" s="106">
        <v>20.831758034026464</v>
      </c>
      <c r="AB52" s="106">
        <v>21.35377358490566</v>
      </c>
      <c r="AC52" s="106">
        <v>21.309578898658028</v>
      </c>
      <c r="AD52" s="106">
        <f t="shared" si="2"/>
        <v>24.504889482409844</v>
      </c>
      <c r="AE52" s="106">
        <v>88</v>
      </c>
      <c r="AF52" s="106">
        <v>24</v>
      </c>
      <c r="AG52" s="106">
        <v>27</v>
      </c>
      <c r="AH52" s="106">
        <v>26</v>
      </c>
      <c r="AI52" s="106">
        <v>30</v>
      </c>
      <c r="AJ52" s="106">
        <v>106</v>
      </c>
      <c r="AK52" s="106">
        <v>28</v>
      </c>
      <c r="AL52" s="106">
        <v>35</v>
      </c>
      <c r="AM52" s="106">
        <v>29</v>
      </c>
      <c r="AN52" s="106">
        <v>24</v>
      </c>
      <c r="AO52" s="106">
        <v>115</v>
      </c>
      <c r="AP52" s="106">
        <v>21</v>
      </c>
      <c r="AQ52" s="106">
        <v>22</v>
      </c>
      <c r="AR52" s="106">
        <v>25</v>
      </c>
      <c r="AS52" s="300">
        <v>67</v>
      </c>
      <c r="AT52" s="106">
        <v>23</v>
      </c>
      <c r="AU52" s="300">
        <v>23</v>
      </c>
      <c r="AV52" s="106">
        <v>90</v>
      </c>
      <c r="AW52" s="300">
        <v>90</v>
      </c>
      <c r="AX52" s="106">
        <v>22</v>
      </c>
      <c r="AY52" s="106">
        <v>21</v>
      </c>
      <c r="AZ52" s="106">
        <v>22</v>
      </c>
      <c r="BA52" s="300">
        <v>22</v>
      </c>
      <c r="BB52" s="300">
        <v>63</v>
      </c>
      <c r="BC52" s="106">
        <v>23</v>
      </c>
      <c r="BD52" s="106">
        <v>86</v>
      </c>
      <c r="BE52" s="378"/>
      <c r="BF52" s="106">
        <v>0</v>
      </c>
      <c r="BG52" s="106">
        <v>0</v>
      </c>
      <c r="BM52" s="106">
        <v>0</v>
      </c>
      <c r="BO52" s="106">
        <v>0</v>
      </c>
      <c r="BU52" s="106">
        <v>0</v>
      </c>
    </row>
    <row r="53" spans="1:75" ht="12.75">
      <c r="A53" s="124" t="s">
        <v>195</v>
      </c>
      <c r="B53" s="88">
        <v>4.351304347826087</v>
      </c>
      <c r="C53" s="88">
        <v>4.573853989813243</v>
      </c>
      <c r="D53" s="88">
        <v>4.4809322033898304</v>
      </c>
      <c r="E53" s="88">
        <v>5.081908831908832</v>
      </c>
      <c r="F53" s="93">
        <v>18.478184991273995</v>
      </c>
      <c r="G53" s="88">
        <v>2.4568965517241383</v>
      </c>
      <c r="H53" s="88">
        <v>3.094068757083491</v>
      </c>
      <c r="I53" s="88">
        <v>3.493782591255515</v>
      </c>
      <c r="J53" s="88">
        <v>16.54841402337229</v>
      </c>
      <c r="K53" s="93">
        <v>24.569767441860463</v>
      </c>
      <c r="L53" s="88">
        <v>11.987659762009695</v>
      </c>
      <c r="M53" s="88">
        <v>7.975543478260869</v>
      </c>
      <c r="N53" s="88">
        <v>8.930272845387613</v>
      </c>
      <c r="O53" s="88">
        <v>12.286236854138089</v>
      </c>
      <c r="P53" s="93">
        <v>41.1319073083779</v>
      </c>
      <c r="Q53" s="88">
        <v>11.245192307692308</v>
      </c>
      <c r="R53" s="88">
        <v>11.619684663162923</v>
      </c>
      <c r="S53" s="88">
        <v>13.737721021611002</v>
      </c>
      <c r="T53" s="88">
        <v>17.646129541864138</v>
      </c>
      <c r="U53" s="93">
        <v>53.89437314906219</v>
      </c>
      <c r="V53" s="88">
        <v>14.219251336898395</v>
      </c>
      <c r="W53" s="88">
        <v>14.80080685829551</v>
      </c>
      <c r="X53" s="88">
        <v>8.648111332007952</v>
      </c>
      <c r="Y53" s="88">
        <v>10.609065155807365</v>
      </c>
      <c r="Z53" s="93">
        <v>47.97696544817226</v>
      </c>
      <c r="AA53" s="88">
        <v>9.7117202268431</v>
      </c>
      <c r="AB53" s="88">
        <v>10</v>
      </c>
      <c r="AC53" s="88">
        <v>11.897269782508099</v>
      </c>
      <c r="AD53" s="88">
        <f t="shared" si="2"/>
        <v>12.391009990648802</v>
      </c>
      <c r="AE53" s="93">
        <v>44</v>
      </c>
      <c r="AF53" s="88">
        <v>13</v>
      </c>
      <c r="AG53" s="88">
        <v>15</v>
      </c>
      <c r="AH53" s="88">
        <v>14</v>
      </c>
      <c r="AI53" s="88">
        <v>13</v>
      </c>
      <c r="AJ53" s="93">
        <v>55</v>
      </c>
      <c r="AK53" s="88">
        <v>15</v>
      </c>
      <c r="AL53" s="88">
        <v>16</v>
      </c>
      <c r="AM53" s="88">
        <v>17</v>
      </c>
      <c r="AN53" s="88">
        <v>16</v>
      </c>
      <c r="AO53" s="93">
        <v>64</v>
      </c>
      <c r="AP53" s="88">
        <v>12</v>
      </c>
      <c r="AQ53" s="88">
        <v>15</v>
      </c>
      <c r="AR53" s="88">
        <v>23</v>
      </c>
      <c r="AS53" s="100">
        <v>48</v>
      </c>
      <c r="AT53" s="88">
        <v>29</v>
      </c>
      <c r="AU53" s="100">
        <v>27</v>
      </c>
      <c r="AV53" s="93">
        <v>77</v>
      </c>
      <c r="AW53" s="101">
        <v>75</v>
      </c>
      <c r="AX53" s="88">
        <v>23</v>
      </c>
      <c r="AY53" s="88">
        <v>20</v>
      </c>
      <c r="AZ53" s="88">
        <v>20</v>
      </c>
      <c r="BA53" s="100">
        <v>20</v>
      </c>
      <c r="BB53" s="100">
        <v>63</v>
      </c>
      <c r="BC53" s="88">
        <v>24</v>
      </c>
      <c r="BD53" s="93">
        <v>87</v>
      </c>
      <c r="BE53" s="372">
        <v>23</v>
      </c>
      <c r="BF53" s="88">
        <v>20</v>
      </c>
      <c r="BG53" s="88">
        <v>20</v>
      </c>
      <c r="BH53" s="88">
        <v>24</v>
      </c>
      <c r="BI53" s="88">
        <v>24</v>
      </c>
      <c r="BJ53" s="93">
        <v>87</v>
      </c>
      <c r="BK53" s="93">
        <v>87</v>
      </c>
      <c r="BL53" s="88">
        <v>22</v>
      </c>
      <c r="BM53" s="88">
        <v>23</v>
      </c>
      <c r="BN53" s="88">
        <v>23</v>
      </c>
      <c r="BO53" s="88">
        <v>21</v>
      </c>
      <c r="BP53" s="88">
        <v>21</v>
      </c>
      <c r="BQ53" s="88">
        <v>22</v>
      </c>
      <c r="BR53" s="93">
        <v>88</v>
      </c>
      <c r="BS53" s="88">
        <v>20</v>
      </c>
      <c r="BT53" s="88">
        <v>15</v>
      </c>
      <c r="BU53" s="88">
        <v>30</v>
      </c>
      <c r="BV53" s="232">
        <v>1</v>
      </c>
      <c r="BW53" s="473">
        <v>66</v>
      </c>
    </row>
    <row r="54" spans="1:75" ht="12.75">
      <c r="A54" s="124" t="s">
        <v>450</v>
      </c>
      <c r="B54" s="88"/>
      <c r="C54" s="88"/>
      <c r="D54" s="88"/>
      <c r="E54" s="88"/>
      <c r="F54" s="93"/>
      <c r="G54" s="88"/>
      <c r="H54" s="88"/>
      <c r="I54" s="88"/>
      <c r="J54" s="88"/>
      <c r="K54" s="93"/>
      <c r="L54" s="88"/>
      <c r="M54" s="88"/>
      <c r="N54" s="88"/>
      <c r="O54" s="88"/>
      <c r="P54" s="93"/>
      <c r="Q54" s="88"/>
      <c r="R54" s="88"/>
      <c r="S54" s="88"/>
      <c r="T54" s="88"/>
      <c r="U54" s="93"/>
      <c r="V54" s="88"/>
      <c r="W54" s="88"/>
      <c r="X54" s="88"/>
      <c r="Y54" s="88"/>
      <c r="Z54" s="93"/>
      <c r="AA54" s="88"/>
      <c r="AB54" s="88"/>
      <c r="AC54" s="88"/>
      <c r="AD54" s="88"/>
      <c r="AE54" s="93"/>
      <c r="AF54" s="88"/>
      <c r="AG54" s="88"/>
      <c r="AH54" s="88"/>
      <c r="AI54" s="88"/>
      <c r="AJ54" s="93"/>
      <c r="AK54" s="88"/>
      <c r="AL54" s="88"/>
      <c r="AM54" s="88"/>
      <c r="AN54" s="88"/>
      <c r="AO54" s="93"/>
      <c r="AP54" s="88"/>
      <c r="AQ54" s="88"/>
      <c r="AR54" s="88"/>
      <c r="AS54" s="100">
        <v>-8</v>
      </c>
      <c r="AT54" s="88"/>
      <c r="AU54" s="100">
        <v>-8</v>
      </c>
      <c r="AV54" s="93"/>
      <c r="AW54" s="101">
        <v>-16</v>
      </c>
      <c r="AX54" s="88">
        <v>-4</v>
      </c>
      <c r="AY54" s="88">
        <v>-6</v>
      </c>
      <c r="AZ54" s="88">
        <v>-3</v>
      </c>
      <c r="BA54" s="100">
        <v>-3</v>
      </c>
      <c r="BB54" s="100">
        <v>-13</v>
      </c>
      <c r="BC54" s="88">
        <v>-3</v>
      </c>
      <c r="BD54" s="93">
        <v>-17</v>
      </c>
      <c r="BE54" s="372">
        <v>-5</v>
      </c>
      <c r="BF54" s="88">
        <v>-6</v>
      </c>
      <c r="BG54" s="88">
        <v>-3</v>
      </c>
      <c r="BH54" s="88">
        <v>-3</v>
      </c>
      <c r="BI54" s="88">
        <v>-3</v>
      </c>
      <c r="BJ54" s="93">
        <v>-17</v>
      </c>
      <c r="BK54" s="93">
        <v>-17</v>
      </c>
      <c r="BL54" s="88">
        <v>-2</v>
      </c>
      <c r="BM54" s="88">
        <v>-3</v>
      </c>
      <c r="BN54" s="88">
        <v>-3</v>
      </c>
      <c r="BO54" s="88">
        <v>-3</v>
      </c>
      <c r="BP54" s="88">
        <v>-3</v>
      </c>
      <c r="BQ54" s="88">
        <v>-2</v>
      </c>
      <c r="BR54" s="93">
        <v>-10</v>
      </c>
      <c r="BS54" s="88">
        <v>-2</v>
      </c>
      <c r="BT54" s="88">
        <v>-2</v>
      </c>
      <c r="BU54" s="88">
        <v>-1</v>
      </c>
      <c r="BV54" s="232">
        <v>-3</v>
      </c>
      <c r="BW54" s="473">
        <v>-9</v>
      </c>
    </row>
    <row r="55" spans="1:57" s="108" customFormat="1" ht="12.75" hidden="1">
      <c r="A55" s="409" t="s">
        <v>427</v>
      </c>
      <c r="B55" s="108">
        <v>61.165217391304346</v>
      </c>
      <c r="C55" s="108">
        <v>55.83701188455008</v>
      </c>
      <c r="D55" s="108">
        <v>64.4138418079096</v>
      </c>
      <c r="E55" s="108">
        <v>82.10470085470084</v>
      </c>
      <c r="F55" s="108">
        <v>262.91797556719024</v>
      </c>
      <c r="G55" s="108">
        <v>58.64224137931035</v>
      </c>
      <c r="H55" s="108">
        <v>63.27540612013601</v>
      </c>
      <c r="I55" s="108">
        <v>66.28559967910148</v>
      </c>
      <c r="J55" s="108">
        <v>91.85308848080133</v>
      </c>
      <c r="K55" s="108">
        <v>277.5503875968992</v>
      </c>
      <c r="L55" s="108">
        <v>88.92463640370207</v>
      </c>
      <c r="M55" s="108">
        <v>103.79076086956522</v>
      </c>
      <c r="N55" s="108">
        <v>104.53009961022087</v>
      </c>
      <c r="O55" s="108">
        <v>129.0352080475537</v>
      </c>
      <c r="P55" s="108">
        <v>425.35650623885914</v>
      </c>
      <c r="Q55" s="108">
        <v>119.17788461538461</v>
      </c>
      <c r="R55" s="108">
        <v>119.36454849498327</v>
      </c>
      <c r="S55" s="108">
        <v>121.50294695481335</v>
      </c>
      <c r="T55" s="108">
        <v>179.2996313849394</v>
      </c>
      <c r="U55" s="108">
        <v>535.8292201382034</v>
      </c>
      <c r="V55" s="108">
        <v>143.7807486631016</v>
      </c>
      <c r="W55" s="108">
        <v>147.231467473525</v>
      </c>
      <c r="X55" s="108">
        <v>131.71471172962225</v>
      </c>
      <c r="Y55" s="108">
        <v>193.18224740321057</v>
      </c>
      <c r="Z55" s="108">
        <v>618.4276414621933</v>
      </c>
      <c r="AA55" s="108">
        <v>150</v>
      </c>
      <c r="AB55" s="108">
        <v>153</v>
      </c>
      <c r="AC55" s="108">
        <v>149.6344285053216</v>
      </c>
      <c r="AD55" s="108">
        <f t="shared" si="2"/>
        <v>178.36557149467842</v>
      </c>
      <c r="AE55" s="108">
        <v>631</v>
      </c>
      <c r="AF55" s="108">
        <v>178</v>
      </c>
      <c r="AG55" s="108">
        <v>174</v>
      </c>
      <c r="AH55" s="108">
        <v>211</v>
      </c>
      <c r="AI55" s="108">
        <v>204</v>
      </c>
      <c r="AJ55" s="108">
        <v>765</v>
      </c>
      <c r="AK55" s="108">
        <v>198</v>
      </c>
      <c r="AL55" s="108">
        <v>216</v>
      </c>
      <c r="AM55" s="108">
        <v>246</v>
      </c>
      <c r="AN55" s="108">
        <v>225</v>
      </c>
      <c r="AO55" s="108">
        <v>885</v>
      </c>
      <c r="AP55" s="108">
        <v>177</v>
      </c>
      <c r="AQ55" s="108">
        <v>214</v>
      </c>
      <c r="AR55" s="108">
        <v>301</v>
      </c>
      <c r="AS55" s="308">
        <v>-352</v>
      </c>
      <c r="AT55" s="108">
        <v>386</v>
      </c>
      <c r="AU55" s="308">
        <v>352</v>
      </c>
      <c r="AV55" s="108">
        <v>1053</v>
      </c>
      <c r="AW55" s="308"/>
      <c r="AX55" s="108">
        <v>364</v>
      </c>
      <c r="AY55" s="108">
        <v>299</v>
      </c>
      <c r="AZ55" s="108">
        <v>308</v>
      </c>
      <c r="BA55" s="308"/>
      <c r="BB55" s="308">
        <v>965</v>
      </c>
      <c r="BE55" s="386"/>
    </row>
    <row r="56" spans="1:57" s="108" customFormat="1" ht="12.75" hidden="1">
      <c r="A56" s="406" t="s">
        <v>437</v>
      </c>
      <c r="AR56" s="413" t="s">
        <v>296</v>
      </c>
      <c r="AS56" s="300">
        <v>0</v>
      </c>
      <c r="AT56" s="106" t="s">
        <v>296</v>
      </c>
      <c r="AU56" s="300"/>
      <c r="AV56" s="108" t="s">
        <v>296</v>
      </c>
      <c r="AW56" s="308"/>
      <c r="AX56" s="108">
        <v>0</v>
      </c>
      <c r="AY56" s="108">
        <v>0</v>
      </c>
      <c r="AZ56" s="108">
        <v>0</v>
      </c>
      <c r="BA56" s="308"/>
      <c r="BB56" s="308"/>
      <c r="BE56" s="386"/>
    </row>
    <row r="57" spans="1:75" s="116" customFormat="1" ht="12.75">
      <c r="A57" s="104" t="s">
        <v>426</v>
      </c>
      <c r="B57" s="96"/>
      <c r="C57" s="96"/>
      <c r="D57" s="96"/>
      <c r="E57" s="96"/>
      <c r="F57" s="97"/>
      <c r="G57" s="96"/>
      <c r="H57" s="96"/>
      <c r="I57" s="96"/>
      <c r="J57" s="96"/>
      <c r="K57" s="97"/>
      <c r="L57" s="96"/>
      <c r="M57" s="96"/>
      <c r="N57" s="96"/>
      <c r="O57" s="96"/>
      <c r="P57" s="97"/>
      <c r="Q57" s="96"/>
      <c r="R57" s="96"/>
      <c r="S57" s="96"/>
      <c r="T57" s="96"/>
      <c r="U57" s="97"/>
      <c r="V57" s="96">
        <v>143.7807486631016</v>
      </c>
      <c r="W57" s="96">
        <v>147.231467473525</v>
      </c>
      <c r="X57" s="96">
        <v>131.71471172962225</v>
      </c>
      <c r="Y57" s="96">
        <v>193.18224740321057</v>
      </c>
      <c r="Z57" s="97">
        <v>618.4276414621933</v>
      </c>
      <c r="AA57" s="96">
        <v>150</v>
      </c>
      <c r="AB57" s="96">
        <v>153</v>
      </c>
      <c r="AC57" s="96">
        <v>149.6344285053216</v>
      </c>
      <c r="AD57" s="96">
        <f>AE57-AC57-AB57-AA57</f>
        <v>178.36557149467842</v>
      </c>
      <c r="AE57" s="97">
        <v>631</v>
      </c>
      <c r="AF57" s="96">
        <v>178</v>
      </c>
      <c r="AG57" s="96">
        <v>174</v>
      </c>
      <c r="AH57" s="96">
        <v>211</v>
      </c>
      <c r="AI57" s="96">
        <v>204</v>
      </c>
      <c r="AJ57" s="97">
        <v>765</v>
      </c>
      <c r="AK57" s="96">
        <v>198</v>
      </c>
      <c r="AL57" s="96">
        <v>216</v>
      </c>
      <c r="AM57" s="96">
        <v>246</v>
      </c>
      <c r="AN57" s="96">
        <v>225</v>
      </c>
      <c r="AO57" s="97">
        <v>885</v>
      </c>
      <c r="AP57" s="96">
        <v>177</v>
      </c>
      <c r="AQ57" s="96">
        <v>214</v>
      </c>
      <c r="AR57" s="96">
        <v>301</v>
      </c>
      <c r="AS57" s="294">
        <v>672</v>
      </c>
      <c r="AT57" s="96">
        <v>386</v>
      </c>
      <c r="AU57" s="294">
        <v>352</v>
      </c>
      <c r="AV57" s="97">
        <v>1053</v>
      </c>
      <c r="AW57" s="291">
        <v>1024</v>
      </c>
      <c r="AX57" s="96">
        <v>364</v>
      </c>
      <c r="AY57" s="96">
        <v>299</v>
      </c>
      <c r="AZ57" s="96">
        <v>308</v>
      </c>
      <c r="BA57" s="294">
        <v>308</v>
      </c>
      <c r="BB57" s="294">
        <v>965</v>
      </c>
      <c r="BC57" s="96">
        <v>376</v>
      </c>
      <c r="BD57" s="97">
        <v>1339</v>
      </c>
      <c r="BE57" s="373">
        <v>364</v>
      </c>
      <c r="BF57" s="96">
        <v>298</v>
      </c>
      <c r="BG57" s="96">
        <v>307</v>
      </c>
      <c r="BH57" s="96">
        <v>378</v>
      </c>
      <c r="BI57" s="96">
        <v>380</v>
      </c>
      <c r="BJ57" s="97">
        <v>1341</v>
      </c>
      <c r="BK57" s="97">
        <v>1348</v>
      </c>
      <c r="BL57" s="96">
        <v>341</v>
      </c>
      <c r="BM57" s="96">
        <v>415</v>
      </c>
      <c r="BN57" s="96">
        <v>447</v>
      </c>
      <c r="BO57" s="96">
        <v>392</v>
      </c>
      <c r="BP57" s="96">
        <v>396</v>
      </c>
      <c r="BQ57" s="96">
        <v>542</v>
      </c>
      <c r="BR57" s="97">
        <v>1742</v>
      </c>
      <c r="BS57" s="96">
        <v>327</v>
      </c>
      <c r="BT57" s="96">
        <v>325</v>
      </c>
      <c r="BU57" s="96">
        <v>312</v>
      </c>
      <c r="BV57" s="96">
        <f>SUM(BV49:BV54)</f>
        <v>454</v>
      </c>
      <c r="BW57" s="97">
        <f>SUM(BW49:BW54)</f>
        <v>1413</v>
      </c>
    </row>
    <row r="58" spans="1:57" s="116" customFormat="1" ht="12.75">
      <c r="A58" s="125"/>
      <c r="AM58" s="91"/>
      <c r="AN58" s="91"/>
      <c r="AO58" s="91"/>
      <c r="AR58" s="91"/>
      <c r="AS58" s="290"/>
      <c r="AT58" s="91"/>
      <c r="AU58" s="290"/>
      <c r="AV58" s="91"/>
      <c r="AW58" s="290"/>
      <c r="BA58" s="302"/>
      <c r="BB58" s="302"/>
      <c r="BD58" s="91"/>
      <c r="BE58" s="381"/>
    </row>
    <row r="59" ht="12.75"/>
    <row r="60" spans="1:75" ht="25.5">
      <c r="A60" s="89" t="s">
        <v>8</v>
      </c>
      <c r="B60" s="90" t="s">
        <v>2</v>
      </c>
      <c r="C60" s="90" t="s">
        <v>3</v>
      </c>
      <c r="D60" s="90" t="s">
        <v>4</v>
      </c>
      <c r="E60" s="90" t="s">
        <v>5</v>
      </c>
      <c r="F60" s="90" t="s">
        <v>6</v>
      </c>
      <c r="G60" s="90" t="s">
        <v>12</v>
      </c>
      <c r="H60" s="90" t="s">
        <v>13</v>
      </c>
      <c r="I60" s="90" t="s">
        <v>14</v>
      </c>
      <c r="J60" s="90" t="s">
        <v>15</v>
      </c>
      <c r="K60" s="90" t="s">
        <v>16</v>
      </c>
      <c r="L60" s="90" t="s">
        <v>17</v>
      </c>
      <c r="M60" s="90" t="s">
        <v>18</v>
      </c>
      <c r="N60" s="90" t="s">
        <v>19</v>
      </c>
      <c r="O60" s="90" t="s">
        <v>20</v>
      </c>
      <c r="P60" s="90" t="s">
        <v>21</v>
      </c>
      <c r="Q60" s="90" t="s">
        <v>22</v>
      </c>
      <c r="R60" s="90" t="s">
        <v>23</v>
      </c>
      <c r="S60" s="90" t="s">
        <v>24</v>
      </c>
      <c r="T60" s="90" t="s">
        <v>25</v>
      </c>
      <c r="U60" s="90" t="s">
        <v>26</v>
      </c>
      <c r="V60" s="90" t="s">
        <v>27</v>
      </c>
      <c r="W60" s="90" t="s">
        <v>28</v>
      </c>
      <c r="X60" s="90" t="s">
        <v>29</v>
      </c>
      <c r="Y60" s="90" t="s">
        <v>30</v>
      </c>
      <c r="Z60" s="90" t="s">
        <v>31</v>
      </c>
      <c r="AA60" s="90" t="s">
        <v>32</v>
      </c>
      <c r="AB60" s="90" t="s">
        <v>33</v>
      </c>
      <c r="AC60" s="90" t="s">
        <v>34</v>
      </c>
      <c r="AD60" s="90" t="s">
        <v>271</v>
      </c>
      <c r="AE60" s="90" t="s">
        <v>272</v>
      </c>
      <c r="AF60" s="90" t="s">
        <v>274</v>
      </c>
      <c r="AG60" s="90" t="s">
        <v>276</v>
      </c>
      <c r="AH60" s="90" t="s">
        <v>278</v>
      </c>
      <c r="AI60" s="120" t="s">
        <v>280</v>
      </c>
      <c r="AJ60" s="120" t="s">
        <v>281</v>
      </c>
      <c r="AK60" s="120" t="s">
        <v>289</v>
      </c>
      <c r="AL60" s="120" t="s">
        <v>290</v>
      </c>
      <c r="AM60" s="120" t="s">
        <v>291</v>
      </c>
      <c r="AN60" s="120" t="s">
        <v>292</v>
      </c>
      <c r="AO60" s="120" t="s">
        <v>293</v>
      </c>
      <c r="AP60" s="120" t="s">
        <v>329</v>
      </c>
      <c r="AQ60" s="120" t="s">
        <v>330</v>
      </c>
      <c r="AR60" s="120" t="s">
        <v>331</v>
      </c>
      <c r="AS60" s="311" t="s">
        <v>490</v>
      </c>
      <c r="AT60" s="120" t="s">
        <v>332</v>
      </c>
      <c r="AU60" s="311" t="s">
        <v>477</v>
      </c>
      <c r="AV60" s="120" t="s">
        <v>333</v>
      </c>
      <c r="AW60" s="311" t="s">
        <v>463</v>
      </c>
      <c r="AX60" s="120" t="s">
        <v>448</v>
      </c>
      <c r="AY60" s="120" t="s">
        <v>451</v>
      </c>
      <c r="AZ60" s="120" t="s">
        <v>453</v>
      </c>
      <c r="BA60" s="311" t="s">
        <v>461</v>
      </c>
      <c r="BB60" s="289" t="s">
        <v>480</v>
      </c>
      <c r="BC60" s="120" t="s">
        <v>454</v>
      </c>
      <c r="BD60" s="120" t="s">
        <v>457</v>
      </c>
      <c r="BE60" s="342" t="s">
        <v>492</v>
      </c>
      <c r="BF60" s="7" t="s">
        <v>553</v>
      </c>
      <c r="BG60" s="7" t="s">
        <v>560</v>
      </c>
      <c r="BH60" s="7" t="s">
        <v>493</v>
      </c>
      <c r="BI60" s="7" t="s">
        <v>582</v>
      </c>
      <c r="BJ60" s="90" t="s">
        <v>494</v>
      </c>
      <c r="BK60" s="90" t="s">
        <v>573</v>
      </c>
      <c r="BL60" s="7" t="s">
        <v>600</v>
      </c>
      <c r="BM60" s="7" t="s">
        <v>554</v>
      </c>
      <c r="BN60" s="7" t="s">
        <v>611</v>
      </c>
      <c r="BO60" s="7" t="s">
        <v>561</v>
      </c>
      <c r="BP60" s="7" t="s">
        <v>572</v>
      </c>
      <c r="BQ60" s="7" t="s">
        <v>570</v>
      </c>
      <c r="BR60" s="90" t="s">
        <v>574</v>
      </c>
      <c r="BS60" s="7" t="s">
        <v>595</v>
      </c>
      <c r="BT60" s="7" t="s">
        <v>605</v>
      </c>
      <c r="BU60" s="7" t="s">
        <v>617</v>
      </c>
      <c r="BV60" s="7" t="s">
        <v>619</v>
      </c>
      <c r="BW60" s="120" t="s">
        <v>620</v>
      </c>
    </row>
    <row r="61" spans="1:75" ht="12.75">
      <c r="A61" s="131" t="s">
        <v>524</v>
      </c>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7"/>
      <c r="AJ61" s="127"/>
      <c r="AK61" s="127"/>
      <c r="AL61" s="127"/>
      <c r="AM61" s="127"/>
      <c r="AN61" s="127"/>
      <c r="AO61" s="127"/>
      <c r="AP61" s="127"/>
      <c r="AQ61" s="127"/>
      <c r="AR61" s="127"/>
      <c r="AS61" s="303"/>
      <c r="AT61" s="127"/>
      <c r="AU61" s="303"/>
      <c r="AV61" s="127"/>
      <c r="AW61" s="303"/>
      <c r="AX61" s="127"/>
      <c r="AY61" s="127"/>
      <c r="AZ61" s="127"/>
      <c r="BA61" s="303"/>
      <c r="BB61" s="303"/>
      <c r="BC61" s="127"/>
      <c r="BD61" s="127"/>
      <c r="BE61" s="382"/>
      <c r="BF61" s="127"/>
      <c r="BG61" s="127"/>
      <c r="BH61" s="127"/>
      <c r="BI61" s="127"/>
      <c r="BJ61" s="127"/>
      <c r="BK61" s="127"/>
      <c r="BL61" s="127"/>
      <c r="BM61" s="127"/>
      <c r="BN61" s="127"/>
      <c r="BO61" s="127"/>
      <c r="BP61" s="127"/>
      <c r="BQ61" s="127"/>
      <c r="BR61" s="127"/>
      <c r="BS61" s="127"/>
      <c r="BT61" s="127"/>
      <c r="BU61" s="127"/>
      <c r="BV61" s="88"/>
      <c r="BW61" s="127"/>
    </row>
    <row r="62" spans="1:75" ht="12.75">
      <c r="A62" s="139" t="s">
        <v>518</v>
      </c>
      <c r="B62" s="88">
        <v>91.65913043478261</v>
      </c>
      <c r="C62" s="88">
        <v>71.76570458404075</v>
      </c>
      <c r="D62" s="88">
        <v>63.44985875706215</v>
      </c>
      <c r="E62" s="88">
        <v>77.11894586894587</v>
      </c>
      <c r="F62" s="93">
        <v>304.0523560209424</v>
      </c>
      <c r="G62" s="88">
        <v>74.4073275862069</v>
      </c>
      <c r="H62" s="88">
        <v>62.716282584057424</v>
      </c>
      <c r="I62" s="88">
        <v>57.70557561171279</v>
      </c>
      <c r="J62" s="88">
        <v>72.74207011686144</v>
      </c>
      <c r="K62" s="93">
        <v>267.9496124031008</v>
      </c>
      <c r="L62" s="88">
        <v>104.96253856324373</v>
      </c>
      <c r="M62" s="88">
        <v>71.42663043478261</v>
      </c>
      <c r="N62" s="88">
        <v>56.86877436119532</v>
      </c>
      <c r="O62" s="88">
        <v>54.06492912665752</v>
      </c>
      <c r="P62" s="93">
        <v>287.620320855615</v>
      </c>
      <c r="Q62" s="88">
        <v>84.39423076923077</v>
      </c>
      <c r="R62" s="88">
        <v>89.30721452460583</v>
      </c>
      <c r="S62" s="88">
        <v>121.39980353634579</v>
      </c>
      <c r="T62" s="88">
        <v>83.12269615587151</v>
      </c>
      <c r="U62" s="93">
        <v>378.8153998025666</v>
      </c>
      <c r="V62" s="88">
        <v>125.32620320855614</v>
      </c>
      <c r="W62" s="88">
        <v>154.256177508825</v>
      </c>
      <c r="X62" s="88">
        <v>190.16898608349902</v>
      </c>
      <c r="Y62" s="88">
        <v>211.22285174693104</v>
      </c>
      <c r="Z62" s="93">
        <v>686.1492238357537</v>
      </c>
      <c r="AA62" s="88">
        <v>216</v>
      </c>
      <c r="AB62" s="88">
        <v>196</v>
      </c>
      <c r="AC62" s="88">
        <v>197</v>
      </c>
      <c r="AD62" s="88">
        <f>AE62-AC62-AB62-AA62</f>
        <v>135</v>
      </c>
      <c r="AE62" s="93">
        <v>744</v>
      </c>
      <c r="AF62" s="88">
        <v>139.47972690736515</v>
      </c>
      <c r="AG62" s="88">
        <v>163.66562693453278</v>
      </c>
      <c r="AH62" s="88">
        <v>186.32473586594767</v>
      </c>
      <c r="AI62" s="88">
        <v>161.14552320045138</v>
      </c>
      <c r="AJ62" s="93">
        <v>648.9009793253537</v>
      </c>
      <c r="AK62" s="88">
        <v>556</v>
      </c>
      <c r="AL62" s="88">
        <v>235</v>
      </c>
      <c r="AM62" s="88">
        <v>276</v>
      </c>
      <c r="AN62" s="88">
        <v>256</v>
      </c>
      <c r="AO62" s="93">
        <v>1327</v>
      </c>
      <c r="AP62" s="88">
        <v>248</v>
      </c>
      <c r="AQ62" s="88">
        <v>133</v>
      </c>
      <c r="AR62" s="88">
        <v>297</v>
      </c>
      <c r="AS62" s="100">
        <v>619</v>
      </c>
      <c r="AT62" s="88">
        <v>362</v>
      </c>
      <c r="AU62" s="100">
        <v>391</v>
      </c>
      <c r="AV62" s="93">
        <v>1024</v>
      </c>
      <c r="AW62" s="101">
        <v>1010</v>
      </c>
      <c r="AX62" s="88">
        <v>445.9</v>
      </c>
      <c r="AY62" s="88">
        <v>305</v>
      </c>
      <c r="AZ62" s="88">
        <v>505</v>
      </c>
      <c r="BA62" s="100">
        <v>447</v>
      </c>
      <c r="BB62" s="100">
        <v>1075</v>
      </c>
      <c r="BC62" s="88">
        <v>546</v>
      </c>
      <c r="BD62" s="93">
        <v>1616.2</v>
      </c>
      <c r="BE62" s="372">
        <v>456</v>
      </c>
      <c r="BF62" s="88">
        <v>294</v>
      </c>
      <c r="BG62" s="88">
        <v>478</v>
      </c>
      <c r="BH62" s="88">
        <v>530</v>
      </c>
      <c r="BI62" s="88">
        <v>530</v>
      </c>
      <c r="BJ62" s="93">
        <v>1750</v>
      </c>
      <c r="BK62" s="93">
        <v>1750</v>
      </c>
      <c r="BL62" s="88">
        <v>579</v>
      </c>
      <c r="BM62" s="88">
        <v>619</v>
      </c>
      <c r="BN62" s="88">
        <v>619</v>
      </c>
      <c r="BO62" s="88">
        <v>600</v>
      </c>
      <c r="BP62" s="88">
        <v>600</v>
      </c>
      <c r="BQ62" s="88">
        <v>573</v>
      </c>
      <c r="BR62" s="93">
        <v>2369</v>
      </c>
      <c r="BS62" s="88">
        <v>439</v>
      </c>
      <c r="BT62" s="88">
        <v>412</v>
      </c>
      <c r="BU62" s="88">
        <v>437</v>
      </c>
      <c r="BV62" s="88">
        <v>497</v>
      </c>
      <c r="BW62" s="473">
        <v>1781</v>
      </c>
    </row>
    <row r="63" spans="1:75" ht="12.75">
      <c r="A63" s="139" t="s">
        <v>517</v>
      </c>
      <c r="B63" s="88">
        <v>77.28</v>
      </c>
      <c r="C63" s="88">
        <v>87.69439728353142</v>
      </c>
      <c r="D63" s="88">
        <v>86.81850282485875</v>
      </c>
      <c r="E63" s="88">
        <v>85.2991452991453</v>
      </c>
      <c r="F63" s="93">
        <v>337.11343804537523</v>
      </c>
      <c r="G63" s="88">
        <v>35.9087643678161</v>
      </c>
      <c r="H63" s="88">
        <v>105.02833396297696</v>
      </c>
      <c r="I63" s="88">
        <v>73.58604091456077</v>
      </c>
      <c r="J63" s="88">
        <v>35.02086811352254</v>
      </c>
      <c r="K63" s="93">
        <v>250.13178294573643</v>
      </c>
      <c r="L63" s="88">
        <v>87.78757161745261</v>
      </c>
      <c r="M63" s="88">
        <v>105.38496376811594</v>
      </c>
      <c r="N63" s="88">
        <v>141.97488090082285</v>
      </c>
      <c r="O63" s="88">
        <v>149.49245541838135</v>
      </c>
      <c r="P63" s="93">
        <v>484.24242424242425</v>
      </c>
      <c r="Q63" s="88">
        <v>170.16826923076923</v>
      </c>
      <c r="R63" s="88">
        <v>216.59818442427135</v>
      </c>
      <c r="S63" s="88">
        <v>347.97151277013756</v>
      </c>
      <c r="T63" s="88">
        <v>334.3812532912059</v>
      </c>
      <c r="U63" s="93">
        <v>1061.5745310957552</v>
      </c>
      <c r="V63" s="88">
        <v>270.4705882352941</v>
      </c>
      <c r="W63" s="88">
        <v>326.1169944528492</v>
      </c>
      <c r="X63" s="88">
        <v>320.2385685884692</v>
      </c>
      <c r="Y63" s="88">
        <v>277.219074598678</v>
      </c>
      <c r="Z63" s="93">
        <v>1193.7606409614423</v>
      </c>
      <c r="AA63" s="88">
        <v>189.5132325141777</v>
      </c>
      <c r="AB63" s="88">
        <v>399</v>
      </c>
      <c r="AC63" s="88">
        <v>345</v>
      </c>
      <c r="AD63" s="88">
        <f aca="true" t="shared" si="3" ref="AD63:AD68">AE63-AC63-AB63-AA63</f>
        <v>164.4867674858223</v>
      </c>
      <c r="AE63" s="93">
        <v>1098</v>
      </c>
      <c r="AF63" s="88">
        <v>227.9804313504303</v>
      </c>
      <c r="AG63" s="88">
        <v>404.8187940664207</v>
      </c>
      <c r="AH63" s="88">
        <v>343.82460997856566</v>
      </c>
      <c r="AI63" s="88">
        <v>307.58047638658854</v>
      </c>
      <c r="AJ63" s="93">
        <v>1279.347116430903</v>
      </c>
      <c r="AK63" s="88">
        <v>334</v>
      </c>
      <c r="AL63" s="88">
        <v>544</v>
      </c>
      <c r="AM63" s="88">
        <v>146</v>
      </c>
      <c r="AN63" s="88">
        <v>-100</v>
      </c>
      <c r="AO63" s="93">
        <v>855</v>
      </c>
      <c r="AP63" s="88">
        <v>109</v>
      </c>
      <c r="AQ63" s="88">
        <v>300</v>
      </c>
      <c r="AR63" s="88">
        <v>117</v>
      </c>
      <c r="AS63" s="100">
        <v>546</v>
      </c>
      <c r="AT63" s="88">
        <v>16</v>
      </c>
      <c r="AU63" s="100">
        <v>-7</v>
      </c>
      <c r="AV63" s="93">
        <v>559</v>
      </c>
      <c r="AW63" s="101">
        <v>539</v>
      </c>
      <c r="AX63" s="88">
        <v>106</v>
      </c>
      <c r="AY63" s="88">
        <v>207</v>
      </c>
      <c r="AZ63" s="88">
        <v>205</v>
      </c>
      <c r="BA63" s="100">
        <v>205</v>
      </c>
      <c r="BB63" s="100">
        <v>526</v>
      </c>
      <c r="BC63" s="88">
        <v>146</v>
      </c>
      <c r="BD63" s="93">
        <v>672</v>
      </c>
      <c r="BE63" s="372">
        <v>125</v>
      </c>
      <c r="BF63" s="88">
        <v>194</v>
      </c>
      <c r="BG63" s="88">
        <v>282</v>
      </c>
      <c r="BH63" s="88">
        <v>106</v>
      </c>
      <c r="BI63" s="88">
        <v>108</v>
      </c>
      <c r="BJ63" s="93">
        <v>719</v>
      </c>
      <c r="BK63" s="93">
        <v>726</v>
      </c>
      <c r="BL63" s="88">
        <v>300</v>
      </c>
      <c r="BM63" s="88">
        <v>181</v>
      </c>
      <c r="BN63" s="88">
        <v>213</v>
      </c>
      <c r="BO63" s="88">
        <v>21</v>
      </c>
      <c r="BP63" s="88">
        <v>25</v>
      </c>
      <c r="BQ63" s="88">
        <v>-81</v>
      </c>
      <c r="BR63" s="93">
        <v>428</v>
      </c>
      <c r="BS63" s="88">
        <v>208</v>
      </c>
      <c r="BT63" s="88">
        <v>-55</v>
      </c>
      <c r="BU63" s="88">
        <v>335</v>
      </c>
      <c r="BV63" s="88">
        <v>135</v>
      </c>
      <c r="BW63" s="473">
        <v>621</v>
      </c>
    </row>
    <row r="64" spans="1:75" ht="12.75">
      <c r="A64" s="139" t="s">
        <v>516</v>
      </c>
      <c r="B64" s="88">
        <v>-134.59826086956522</v>
      </c>
      <c r="C64" s="88">
        <v>-123.4736842105263</v>
      </c>
      <c r="D64" s="88">
        <v>-77.01271186440678</v>
      </c>
      <c r="E64" s="88">
        <v>-43.47222222222222</v>
      </c>
      <c r="F64" s="93">
        <v>-380.7225130890052</v>
      </c>
      <c r="G64" s="88">
        <v>-14.346264367816092</v>
      </c>
      <c r="H64" s="88">
        <v>21.080468454854554</v>
      </c>
      <c r="I64" s="88">
        <v>29.83553951062976</v>
      </c>
      <c r="J64" s="88">
        <v>10.187813021702839</v>
      </c>
      <c r="K64" s="93">
        <v>44.43798449612403</v>
      </c>
      <c r="L64" s="88">
        <v>2.9396209784045837</v>
      </c>
      <c r="M64" s="88">
        <v>-31.567028985507243</v>
      </c>
      <c r="N64" s="88">
        <v>78.9302728453876</v>
      </c>
      <c r="O64" s="88">
        <v>29.867398262459993</v>
      </c>
      <c r="P64" s="93">
        <v>82.23707664884135</v>
      </c>
      <c r="Q64" s="88">
        <v>111.65384615384616</v>
      </c>
      <c r="R64" s="88">
        <v>65.34639273769709</v>
      </c>
      <c r="S64" s="88">
        <v>69.975442043222</v>
      </c>
      <c r="T64" s="88">
        <v>106.82991047919957</v>
      </c>
      <c r="U64" s="93">
        <v>352.59131293188545</v>
      </c>
      <c r="V64" s="88">
        <v>171.14438502673795</v>
      </c>
      <c r="W64" s="88">
        <v>68.37115481593545</v>
      </c>
      <c r="X64" s="88">
        <v>57.067594433399606</v>
      </c>
      <c r="Y64" s="88">
        <v>1.019830028328613</v>
      </c>
      <c r="Z64" s="93">
        <v>286.73009514271405</v>
      </c>
      <c r="AA64" s="88">
        <v>416</v>
      </c>
      <c r="AB64" s="88">
        <v>51.990566037735846</v>
      </c>
      <c r="AC64" s="88">
        <v>33</v>
      </c>
      <c r="AD64" s="88">
        <f t="shared" si="3"/>
        <v>52.009433962264154</v>
      </c>
      <c r="AE64" s="93">
        <v>553</v>
      </c>
      <c r="AF64" s="88">
        <v>75.11085833496563</v>
      </c>
      <c r="AG64" s="88">
        <v>54.656535358820946</v>
      </c>
      <c r="AH64" s="88">
        <v>55.70696493335659</v>
      </c>
      <c r="AI64" s="88">
        <v>65.5898797871274</v>
      </c>
      <c r="AJ64" s="93">
        <v>251.27856365614798</v>
      </c>
      <c r="AK64" s="88">
        <v>77</v>
      </c>
      <c r="AL64" s="88">
        <v>68</v>
      </c>
      <c r="AM64" s="88">
        <v>67</v>
      </c>
      <c r="AN64" s="88">
        <v>69</v>
      </c>
      <c r="AO64" s="93">
        <v>282</v>
      </c>
      <c r="AP64" s="88">
        <v>91</v>
      </c>
      <c r="AQ64" s="88">
        <v>67</v>
      </c>
      <c r="AR64" s="88">
        <v>103</v>
      </c>
      <c r="AS64" s="100">
        <v>265</v>
      </c>
      <c r="AT64" s="88">
        <v>116</v>
      </c>
      <c r="AU64" s="100">
        <v>119</v>
      </c>
      <c r="AV64" s="93">
        <v>373</v>
      </c>
      <c r="AW64" s="101">
        <v>384</v>
      </c>
      <c r="AX64" s="88">
        <v>155</v>
      </c>
      <c r="AY64" s="88">
        <v>121</v>
      </c>
      <c r="AZ64" s="88">
        <v>47</v>
      </c>
      <c r="BA64" s="100">
        <v>47</v>
      </c>
      <c r="BB64" s="100">
        <v>317</v>
      </c>
      <c r="BC64" s="88">
        <v>100</v>
      </c>
      <c r="BD64" s="93">
        <v>418</v>
      </c>
      <c r="BE64" s="372">
        <v>88</v>
      </c>
      <c r="BF64" s="88">
        <v>104</v>
      </c>
      <c r="BG64" s="88">
        <v>42</v>
      </c>
      <c r="BH64" s="88">
        <v>88</v>
      </c>
      <c r="BI64" s="88">
        <v>89</v>
      </c>
      <c r="BJ64" s="93">
        <v>321</v>
      </c>
      <c r="BK64" s="93">
        <v>324</v>
      </c>
      <c r="BL64" s="88">
        <v>116</v>
      </c>
      <c r="BM64" s="88">
        <v>102</v>
      </c>
      <c r="BN64" s="88">
        <v>102</v>
      </c>
      <c r="BO64" s="88">
        <v>105</v>
      </c>
      <c r="BP64" s="88">
        <v>105</v>
      </c>
      <c r="BQ64" s="88">
        <v>85</v>
      </c>
      <c r="BR64" s="93">
        <v>407</v>
      </c>
      <c r="BS64" s="88">
        <v>79</v>
      </c>
      <c r="BT64" s="88">
        <v>59</v>
      </c>
      <c r="BU64" s="88">
        <v>79</v>
      </c>
      <c r="BV64" s="106">
        <v>42</v>
      </c>
      <c r="BW64" s="473">
        <v>258</v>
      </c>
    </row>
    <row r="65" spans="1:74" s="106" customFormat="1" ht="12.75" hidden="1">
      <c r="A65" s="406" t="s">
        <v>62</v>
      </c>
      <c r="B65" s="106">
        <v>21.87130434782609</v>
      </c>
      <c r="C65" s="106">
        <v>1.1986417657045845</v>
      </c>
      <c r="D65" s="106">
        <v>15.32132768361582</v>
      </c>
      <c r="E65" s="106">
        <v>16.203703703703702</v>
      </c>
      <c r="F65" s="106">
        <v>54.20593368237347</v>
      </c>
      <c r="G65" s="106">
        <v>9.13793103448276</v>
      </c>
      <c r="H65" s="106">
        <v>18.5304117869286</v>
      </c>
      <c r="I65" s="106">
        <v>22.57521058965102</v>
      </c>
      <c r="J65" s="106">
        <v>-3.8814691151919867</v>
      </c>
      <c r="K65" s="106">
        <v>47.081395348837205</v>
      </c>
      <c r="L65" s="106">
        <v>15.18289995592772</v>
      </c>
      <c r="M65" s="106">
        <v>28.817934782608695</v>
      </c>
      <c r="N65" s="106">
        <v>-6.595928973581637</v>
      </c>
      <c r="O65" s="106">
        <v>28.427069044352997</v>
      </c>
      <c r="P65" s="106">
        <v>64.62566844919786</v>
      </c>
      <c r="Q65" s="106">
        <v>31.519230769230766</v>
      </c>
      <c r="R65" s="106">
        <v>30.21978021978022</v>
      </c>
      <c r="S65" s="106">
        <v>33.781925343811395</v>
      </c>
      <c r="T65" s="106">
        <v>59.68404423380726</v>
      </c>
      <c r="U65" s="106">
        <v>153.46989141164858</v>
      </c>
      <c r="V65" s="106">
        <v>69.47058823529412</v>
      </c>
      <c r="W65" s="106">
        <v>37.428139183055976</v>
      </c>
      <c r="X65" s="106">
        <v>20.46222664015905</v>
      </c>
      <c r="Y65" s="106">
        <v>40.609065155807365</v>
      </c>
      <c r="Z65" s="106">
        <v>165.9038557836755</v>
      </c>
      <c r="AA65" s="106">
        <v>38.09546313799622</v>
      </c>
      <c r="AB65" s="106">
        <v>39</v>
      </c>
      <c r="AC65" s="106">
        <v>46</v>
      </c>
      <c r="AD65" s="106">
        <f t="shared" si="3"/>
        <v>75.90453686200378</v>
      </c>
      <c r="AE65" s="106">
        <v>199</v>
      </c>
      <c r="AF65" s="106">
        <v>89.43005010159555</v>
      </c>
      <c r="AG65" s="106">
        <v>92.7679202783047</v>
      </c>
      <c r="AH65" s="106">
        <v>91.10773702609602</v>
      </c>
      <c r="AI65" s="106">
        <v>53.2240576823434</v>
      </c>
      <c r="AJ65" s="106">
        <v>328.04134929270947</v>
      </c>
      <c r="AK65" s="106">
        <v>43</v>
      </c>
      <c r="AL65" s="106">
        <v>-52</v>
      </c>
      <c r="AM65" s="106">
        <v>28</v>
      </c>
      <c r="AN65" s="106">
        <v>43</v>
      </c>
      <c r="AO65" s="106">
        <v>71</v>
      </c>
      <c r="AP65" s="106">
        <v>5</v>
      </c>
      <c r="AQ65" s="106">
        <v>-22</v>
      </c>
      <c r="AR65" s="106">
        <v>32</v>
      </c>
      <c r="AS65" s="300">
        <v>11</v>
      </c>
      <c r="AT65" s="106">
        <v>3</v>
      </c>
      <c r="AU65" s="300">
        <v>4</v>
      </c>
      <c r="AV65" s="106">
        <v>15</v>
      </c>
      <c r="AW65" s="300">
        <v>15</v>
      </c>
      <c r="AX65" s="106">
        <v>11</v>
      </c>
      <c r="AY65" s="106">
        <v>28</v>
      </c>
      <c r="AZ65" s="106">
        <v>50</v>
      </c>
      <c r="BA65" s="300">
        <v>50</v>
      </c>
      <c r="BB65" s="300">
        <v>89</v>
      </c>
      <c r="BC65" s="106">
        <v>2</v>
      </c>
      <c r="BD65" s="106">
        <v>92</v>
      </c>
      <c r="BE65" s="378"/>
      <c r="BF65" s="106">
        <v>0</v>
      </c>
      <c r="BG65" s="106">
        <v>0</v>
      </c>
      <c r="BM65" s="106">
        <v>0</v>
      </c>
      <c r="BO65" s="106">
        <v>0</v>
      </c>
      <c r="BU65" s="106">
        <v>0</v>
      </c>
      <c r="BV65" s="88"/>
    </row>
    <row r="66" spans="1:75" ht="12.75">
      <c r="A66" s="124" t="s">
        <v>195</v>
      </c>
      <c r="B66" s="88">
        <v>-5.158260869565218</v>
      </c>
      <c r="C66" s="88">
        <v>-14.580645161290322</v>
      </c>
      <c r="D66" s="88">
        <v>-22.02683615819209</v>
      </c>
      <c r="E66" s="88">
        <v>-26.88034188034188</v>
      </c>
      <c r="F66" s="93">
        <v>-68.28272251308901</v>
      </c>
      <c r="G66" s="88">
        <v>-15.431034482758623</v>
      </c>
      <c r="H66" s="88">
        <v>-21.22780506233472</v>
      </c>
      <c r="I66" s="88">
        <v>-28.387484957882066</v>
      </c>
      <c r="J66" s="88">
        <v>-49.32387312186978</v>
      </c>
      <c r="K66" s="93">
        <v>-111.66666666666667</v>
      </c>
      <c r="L66" s="88">
        <v>-12.661965623622741</v>
      </c>
      <c r="M66" s="88">
        <v>-44.55615942028985</v>
      </c>
      <c r="N66" s="88">
        <v>-29.57557384148982</v>
      </c>
      <c r="O66" s="88">
        <v>-30.15546410608139</v>
      </c>
      <c r="P66" s="93">
        <v>-116.46613190730838</v>
      </c>
      <c r="Q66" s="88">
        <v>-15.783653846153845</v>
      </c>
      <c r="R66" s="88">
        <v>-38.31342570473005</v>
      </c>
      <c r="S66" s="88">
        <v>-27.750491159135564</v>
      </c>
      <c r="T66" s="88">
        <v>-126.94049499736703</v>
      </c>
      <c r="U66" s="93">
        <v>-202.65547877591314</v>
      </c>
      <c r="V66" s="88">
        <v>-53.40106951871658</v>
      </c>
      <c r="W66" s="88">
        <v>-25.511850731215333</v>
      </c>
      <c r="X66" s="88">
        <v>-54.52783300198808</v>
      </c>
      <c r="Y66" s="88">
        <v>-29.230406043437206</v>
      </c>
      <c r="Z66" s="93">
        <v>-161.2769153730596</v>
      </c>
      <c r="AA66" s="88">
        <v>-44</v>
      </c>
      <c r="AB66" s="88">
        <v>-55.68867924528301</v>
      </c>
      <c r="AC66" s="88">
        <v>-34</v>
      </c>
      <c r="AD66" s="88">
        <f t="shared" si="3"/>
        <v>-36.31132075471699</v>
      </c>
      <c r="AE66" s="93">
        <v>-170</v>
      </c>
      <c r="AF66" s="88">
        <v>42.215137148102954</v>
      </c>
      <c r="AG66" s="88">
        <v>-34.81646814892021</v>
      </c>
      <c r="AH66" s="88">
        <v>61.70441345037842</v>
      </c>
      <c r="AI66" s="88">
        <v>134.73987803835814</v>
      </c>
      <c r="AJ66" s="93">
        <v>198.73231773667027</v>
      </c>
      <c r="AK66" s="88">
        <v>-38</v>
      </c>
      <c r="AL66" s="88">
        <v>-16</v>
      </c>
      <c r="AM66" s="88">
        <v>-74</v>
      </c>
      <c r="AN66" s="88">
        <v>-33</v>
      </c>
      <c r="AO66" s="93">
        <v>-159</v>
      </c>
      <c r="AP66" s="88">
        <v>50</v>
      </c>
      <c r="AQ66" s="88">
        <v>66</v>
      </c>
      <c r="AR66" s="88">
        <v>-47</v>
      </c>
      <c r="AS66" s="100">
        <v>67</v>
      </c>
      <c r="AT66" s="88">
        <v>196</v>
      </c>
      <c r="AU66" s="100">
        <v>146</v>
      </c>
      <c r="AV66" s="93">
        <v>258</v>
      </c>
      <c r="AW66" s="101">
        <v>213</v>
      </c>
      <c r="AX66" s="88">
        <v>-39</v>
      </c>
      <c r="AY66" s="88">
        <v>-83</v>
      </c>
      <c r="AZ66" s="88">
        <v>-68</v>
      </c>
      <c r="BA66" s="100">
        <v>-68</v>
      </c>
      <c r="BB66" s="100">
        <v>-192</v>
      </c>
      <c r="BC66" s="88">
        <v>-96</v>
      </c>
      <c r="BD66" s="93">
        <v>-287</v>
      </c>
      <c r="BE66" s="372">
        <v>-39</v>
      </c>
      <c r="BF66" s="88">
        <v>-41</v>
      </c>
      <c r="BG66" s="88">
        <v>-91</v>
      </c>
      <c r="BH66" s="88">
        <v>-71</v>
      </c>
      <c r="BI66" s="88">
        <v>-64</v>
      </c>
      <c r="BJ66" s="93">
        <v>-244</v>
      </c>
      <c r="BK66" s="93">
        <v>-216</v>
      </c>
      <c r="BL66" s="88">
        <v>-84</v>
      </c>
      <c r="BM66" s="88">
        <v>-36</v>
      </c>
      <c r="BN66" s="88">
        <v>-30</v>
      </c>
      <c r="BO66" s="88">
        <v>-29</v>
      </c>
      <c r="BP66" s="88">
        <v>-20</v>
      </c>
      <c r="BQ66" s="88">
        <v>-2</v>
      </c>
      <c r="BR66" s="93">
        <v>-134</v>
      </c>
      <c r="BS66" s="88">
        <v>-32</v>
      </c>
      <c r="BT66" s="88">
        <v>-35</v>
      </c>
      <c r="BU66" s="88">
        <v>-28</v>
      </c>
      <c r="BV66" s="88">
        <v>-92</v>
      </c>
      <c r="BW66" s="473">
        <v>-185</v>
      </c>
    </row>
    <row r="67" spans="1:75" ht="12.75">
      <c r="A67" s="124" t="s">
        <v>450</v>
      </c>
      <c r="B67" s="88">
        <v>20.716521739130435</v>
      </c>
      <c r="C67" s="88">
        <v>-13.745331069609508</v>
      </c>
      <c r="D67" s="88">
        <v>-27.450564971751415</v>
      </c>
      <c r="E67" s="88">
        <v>26.463675213675213</v>
      </c>
      <c r="F67" s="93">
        <v>5.462478184991274</v>
      </c>
      <c r="G67" s="88">
        <v>12.737068965517242</v>
      </c>
      <c r="H67" s="88">
        <v>-13.388741972043825</v>
      </c>
      <c r="I67" s="88">
        <v>-21.556357801845166</v>
      </c>
      <c r="J67" s="88">
        <v>23.714524207011685</v>
      </c>
      <c r="K67" s="93">
        <v>1.2015503875968991</v>
      </c>
      <c r="L67" s="88">
        <v>14.764213309828119</v>
      </c>
      <c r="M67" s="88">
        <v>-24.393115942028984</v>
      </c>
      <c r="N67" s="88">
        <v>-13.083585967951494</v>
      </c>
      <c r="O67" s="88">
        <v>16.236854138088706</v>
      </c>
      <c r="P67" s="93">
        <v>-6.711229946524064</v>
      </c>
      <c r="Q67" s="88">
        <v>34.44230769230769</v>
      </c>
      <c r="R67" s="88">
        <v>-15.967510750119445</v>
      </c>
      <c r="S67" s="88">
        <v>-22.87819253438114</v>
      </c>
      <c r="T67" s="88">
        <v>25.660874144286467</v>
      </c>
      <c r="U67" s="93">
        <v>19.925962487660414</v>
      </c>
      <c r="V67" s="88">
        <v>54.99465240641711</v>
      </c>
      <c r="W67" s="88">
        <v>-22.985375693393845</v>
      </c>
      <c r="X67" s="88">
        <v>-54.47316103379722</v>
      </c>
      <c r="Y67" s="88">
        <v>-2.039660056657224</v>
      </c>
      <c r="Z67" s="93">
        <v>-28.372558838257387</v>
      </c>
      <c r="AA67" s="88">
        <v>67.7882797731569</v>
      </c>
      <c r="AB67" s="88">
        <v>5.169811320754717</v>
      </c>
      <c r="AC67" s="88">
        <v>1</v>
      </c>
      <c r="AD67" s="88">
        <f t="shared" si="3"/>
        <v>9.04190890608838</v>
      </c>
      <c r="AE67" s="93">
        <v>83</v>
      </c>
      <c r="AF67" s="88">
        <v>-7.377654641182425</v>
      </c>
      <c r="AG67" s="88">
        <v>-10.308149830807526</v>
      </c>
      <c r="AH67" s="88">
        <v>-3.143339714107895</v>
      </c>
      <c r="AI67" s="88">
        <v>14.452590415466148</v>
      </c>
      <c r="AJ67" s="93">
        <v>-7.480957562568008</v>
      </c>
      <c r="AK67" s="88">
        <v>-385</v>
      </c>
      <c r="AL67" s="88">
        <v>-1</v>
      </c>
      <c r="AM67" s="88">
        <v>37</v>
      </c>
      <c r="AN67" s="88">
        <v>22</v>
      </c>
      <c r="AO67" s="93">
        <v>-330</v>
      </c>
      <c r="AP67" s="88">
        <v>-28</v>
      </c>
      <c r="AQ67" s="88">
        <v>44</v>
      </c>
      <c r="AR67" s="88">
        <v>15</v>
      </c>
      <c r="AS67" s="100">
        <v>21</v>
      </c>
      <c r="AT67" s="88">
        <v>-2</v>
      </c>
      <c r="AU67" s="100">
        <v>-9</v>
      </c>
      <c r="AV67" s="93">
        <v>27</v>
      </c>
      <c r="AW67" s="101">
        <v>12</v>
      </c>
      <c r="AX67" s="88">
        <v>-9</v>
      </c>
      <c r="AY67" s="88">
        <v>-4</v>
      </c>
      <c r="AZ67" s="88">
        <v>8</v>
      </c>
      <c r="BA67" s="100">
        <v>8</v>
      </c>
      <c r="BB67" s="100">
        <v>-3</v>
      </c>
      <c r="BC67" s="88">
        <v>-12</v>
      </c>
      <c r="BD67" s="93">
        <v>-16</v>
      </c>
      <c r="BE67" s="372">
        <v>-18</v>
      </c>
      <c r="BF67" s="88">
        <v>-39</v>
      </c>
      <c r="BG67" s="88">
        <v>-22</v>
      </c>
      <c r="BH67" s="88">
        <v>27</v>
      </c>
      <c r="BI67" s="88">
        <v>26</v>
      </c>
      <c r="BJ67" s="93">
        <v>-56</v>
      </c>
      <c r="BK67" s="93">
        <v>-56</v>
      </c>
      <c r="BL67" s="88">
        <v>-22</v>
      </c>
      <c r="BM67" s="88">
        <v>-27</v>
      </c>
      <c r="BN67" s="88">
        <v>-27</v>
      </c>
      <c r="BO67" s="88">
        <v>-44</v>
      </c>
      <c r="BP67" s="88">
        <v>-44</v>
      </c>
      <c r="BQ67" s="88">
        <v>19</v>
      </c>
      <c r="BR67" s="93">
        <v>-68</v>
      </c>
      <c r="BS67" s="88">
        <v>1</v>
      </c>
      <c r="BT67" s="88">
        <v>-52</v>
      </c>
      <c r="BU67" s="88">
        <v>-56</v>
      </c>
      <c r="BV67" s="88">
        <v>23</v>
      </c>
      <c r="BW67" s="473">
        <v>-84</v>
      </c>
    </row>
    <row r="68" spans="1:57" s="108" customFormat="1" ht="12.75" hidden="1">
      <c r="A68" s="409" t="s">
        <v>428</v>
      </c>
      <c r="B68" s="108">
        <v>71.7704347826087</v>
      </c>
      <c r="C68" s="108">
        <v>8.859083191850635</v>
      </c>
      <c r="D68" s="108">
        <v>39.099576271186436</v>
      </c>
      <c r="E68" s="108">
        <v>134.73290598290595</v>
      </c>
      <c r="F68" s="108">
        <v>251.82897033158818</v>
      </c>
      <c r="G68" s="108">
        <v>102.41379310344828</v>
      </c>
      <c r="H68" s="108">
        <v>172.738949754439</v>
      </c>
      <c r="I68" s="108">
        <v>133.75852386682712</v>
      </c>
      <c r="J68" s="108">
        <v>88.45993322203674</v>
      </c>
      <c r="K68" s="108">
        <v>499.13565891472865</v>
      </c>
      <c r="L68" s="108">
        <v>212.974878801234</v>
      </c>
      <c r="M68" s="108">
        <v>105.11322463768117</v>
      </c>
      <c r="N68" s="108">
        <v>228.5188393243828</v>
      </c>
      <c r="O68" s="108">
        <v>247.93324188385918</v>
      </c>
      <c r="P68" s="108">
        <v>795.548128342246</v>
      </c>
      <c r="Q68" s="108">
        <v>416.3942307692308</v>
      </c>
      <c r="R68" s="108">
        <v>347.190635451505</v>
      </c>
      <c r="S68" s="108">
        <v>522.5</v>
      </c>
      <c r="T68" s="108">
        <v>482.73828330700377</v>
      </c>
      <c r="U68" s="108">
        <v>1763.7216189536034</v>
      </c>
      <c r="V68" s="108">
        <v>638.0053475935829</v>
      </c>
      <c r="W68" s="108">
        <v>537.6752395360566</v>
      </c>
      <c r="X68" s="108">
        <v>478.9363817097416</v>
      </c>
      <c r="Y68" s="108">
        <v>498.80075542965056</v>
      </c>
      <c r="Z68" s="108">
        <v>2142.894341512269</v>
      </c>
      <c r="AA68" s="108">
        <v>884</v>
      </c>
      <c r="AB68" s="108">
        <v>635</v>
      </c>
      <c r="AC68" s="108">
        <v>588</v>
      </c>
      <c r="AD68" s="108">
        <f t="shared" si="3"/>
        <v>400</v>
      </c>
      <c r="AE68" s="108">
        <v>2507</v>
      </c>
      <c r="AF68" s="108">
        <v>566.8385492012771</v>
      </c>
      <c r="AG68" s="108">
        <v>670.7842586583514</v>
      </c>
      <c r="AH68" s="108">
        <v>735.5251215402365</v>
      </c>
      <c r="AI68" s="108">
        <v>736.732405510335</v>
      </c>
      <c r="AJ68" s="108">
        <v>2698.819368879216</v>
      </c>
      <c r="AK68" s="108">
        <v>587</v>
      </c>
      <c r="AL68" s="108">
        <v>778</v>
      </c>
      <c r="AM68" s="108">
        <v>480</v>
      </c>
      <c r="AN68" s="108">
        <v>257</v>
      </c>
      <c r="AO68" s="108">
        <v>2046</v>
      </c>
      <c r="AP68" s="108">
        <v>475</v>
      </c>
      <c r="AQ68" s="108">
        <v>588</v>
      </c>
      <c r="AR68" s="108">
        <v>517</v>
      </c>
      <c r="AS68" s="308">
        <v>0</v>
      </c>
      <c r="AT68" s="108">
        <v>691</v>
      </c>
      <c r="AU68" s="308"/>
      <c r="AV68" s="108">
        <v>2256</v>
      </c>
      <c r="AW68" s="308"/>
      <c r="AX68" s="108">
        <v>669.9</v>
      </c>
      <c r="AY68" s="108">
        <v>574</v>
      </c>
      <c r="AZ68" s="108">
        <v>747</v>
      </c>
      <c r="BA68" s="308"/>
      <c r="BB68" s="308">
        <v>1812</v>
      </c>
      <c r="BE68" s="386"/>
    </row>
    <row r="69" spans="1:57" s="108" customFormat="1" ht="12.75" hidden="1">
      <c r="A69" s="406" t="s">
        <v>437</v>
      </c>
      <c r="AR69" s="106">
        <v>-44</v>
      </c>
      <c r="AS69" s="300">
        <v>0</v>
      </c>
      <c r="AT69" s="106">
        <v>36</v>
      </c>
      <c r="AU69" s="300"/>
      <c r="AV69" s="108">
        <v>-8</v>
      </c>
      <c r="AW69" s="308"/>
      <c r="AX69" s="108">
        <v>-59</v>
      </c>
      <c r="AY69" s="108">
        <v>-62</v>
      </c>
      <c r="AZ69" s="108">
        <v>-58</v>
      </c>
      <c r="BA69" s="308"/>
      <c r="BB69" s="308"/>
      <c r="BE69" s="386"/>
    </row>
    <row r="70" spans="1:75" s="116" customFormat="1" ht="12.75">
      <c r="A70" s="104" t="s">
        <v>429</v>
      </c>
      <c r="B70" s="96"/>
      <c r="C70" s="96"/>
      <c r="D70" s="96"/>
      <c r="E70" s="96"/>
      <c r="F70" s="97"/>
      <c r="G70" s="96"/>
      <c r="H70" s="96"/>
      <c r="I70" s="96"/>
      <c r="J70" s="96"/>
      <c r="K70" s="97"/>
      <c r="L70" s="96"/>
      <c r="M70" s="96"/>
      <c r="N70" s="96"/>
      <c r="O70" s="96"/>
      <c r="P70" s="97"/>
      <c r="Q70" s="96"/>
      <c r="R70" s="96"/>
      <c r="S70" s="96"/>
      <c r="T70" s="96"/>
      <c r="U70" s="97"/>
      <c r="V70" s="96">
        <v>638.0053475935829</v>
      </c>
      <c r="W70" s="96">
        <v>537.6752395360566</v>
      </c>
      <c r="X70" s="96">
        <v>478.9363817097416</v>
      </c>
      <c r="Y70" s="96">
        <v>498.80075542965056</v>
      </c>
      <c r="Z70" s="97">
        <v>2142.894341512269</v>
      </c>
      <c r="AA70" s="96">
        <v>884</v>
      </c>
      <c r="AB70" s="96">
        <v>635</v>
      </c>
      <c r="AC70" s="96">
        <v>588</v>
      </c>
      <c r="AD70" s="96">
        <f>AE70-AC70-AB70-AA70</f>
        <v>400</v>
      </c>
      <c r="AE70" s="97">
        <v>2507</v>
      </c>
      <c r="AF70" s="96">
        <v>566.8385492012771</v>
      </c>
      <c r="AG70" s="96">
        <v>670.7842586583514</v>
      </c>
      <c r="AH70" s="96">
        <v>735.5251215402365</v>
      </c>
      <c r="AI70" s="96">
        <v>736.732405510335</v>
      </c>
      <c r="AJ70" s="97">
        <v>2698.819368879216</v>
      </c>
      <c r="AK70" s="96">
        <v>587</v>
      </c>
      <c r="AL70" s="96">
        <v>778</v>
      </c>
      <c r="AM70" s="96">
        <v>480</v>
      </c>
      <c r="AN70" s="96">
        <v>257</v>
      </c>
      <c r="AO70" s="97">
        <v>2046</v>
      </c>
      <c r="AP70" s="96">
        <v>475</v>
      </c>
      <c r="AQ70" s="96">
        <v>588</v>
      </c>
      <c r="AR70" s="96">
        <v>473</v>
      </c>
      <c r="AS70" s="294">
        <v>1529</v>
      </c>
      <c r="AT70" s="96">
        <v>727</v>
      </c>
      <c r="AU70" s="294">
        <v>644</v>
      </c>
      <c r="AV70" s="97">
        <v>2248</v>
      </c>
      <c r="AW70" s="291">
        <v>2173</v>
      </c>
      <c r="AX70" s="96">
        <v>610.9</v>
      </c>
      <c r="AY70" s="96">
        <v>512</v>
      </c>
      <c r="AZ70" s="96">
        <v>689</v>
      </c>
      <c r="BA70" s="294">
        <v>689</v>
      </c>
      <c r="BB70" s="294">
        <v>1812</v>
      </c>
      <c r="BC70" s="96">
        <v>686</v>
      </c>
      <c r="BD70" s="97">
        <v>2495.2</v>
      </c>
      <c r="BE70" s="373">
        <v>612</v>
      </c>
      <c r="BF70" s="96">
        <v>512</v>
      </c>
      <c r="BG70" s="96">
        <v>689</v>
      </c>
      <c r="BH70" s="96">
        <v>680</v>
      </c>
      <c r="BI70" s="96">
        <v>689</v>
      </c>
      <c r="BJ70" s="97">
        <v>2490</v>
      </c>
      <c r="BK70" s="97">
        <v>2528</v>
      </c>
      <c r="BL70" s="96">
        <v>889</v>
      </c>
      <c r="BM70" s="96">
        <v>839</v>
      </c>
      <c r="BN70" s="96">
        <v>877</v>
      </c>
      <c r="BO70" s="96">
        <v>653</v>
      </c>
      <c r="BP70" s="96">
        <v>666</v>
      </c>
      <c r="BQ70" s="96">
        <v>594</v>
      </c>
      <c r="BR70" s="97">
        <v>3002</v>
      </c>
      <c r="BS70" s="96">
        <v>695</v>
      </c>
      <c r="BT70" s="96">
        <v>329</v>
      </c>
      <c r="BU70" s="96">
        <v>767</v>
      </c>
      <c r="BV70" s="96">
        <f>SUM(BV62:BV67)</f>
        <v>605</v>
      </c>
      <c r="BW70" s="97">
        <f>SUM(BW62:BW67)</f>
        <v>2391</v>
      </c>
    </row>
    <row r="71" spans="1:74" s="116" customFormat="1" ht="12.75">
      <c r="A71" s="125"/>
      <c r="AS71" s="302"/>
      <c r="AU71" s="302"/>
      <c r="AW71" s="302"/>
      <c r="AX71" s="91"/>
      <c r="AY71" s="91"/>
      <c r="AZ71" s="91"/>
      <c r="BA71" s="290"/>
      <c r="BB71" s="290"/>
      <c r="BC71" s="91"/>
      <c r="BE71" s="371"/>
      <c r="BF71" s="91"/>
      <c r="BG71" s="91"/>
      <c r="BH71" s="91"/>
      <c r="BI71" s="91"/>
      <c r="BL71" s="91"/>
      <c r="BM71" s="91"/>
      <c r="BN71" s="91"/>
      <c r="BO71" s="91"/>
      <c r="BP71" s="91"/>
      <c r="BQ71" s="91"/>
      <c r="BS71" s="91"/>
      <c r="BT71" s="91"/>
      <c r="BU71" s="91"/>
      <c r="BV71" s="91"/>
    </row>
    <row r="72" spans="2:75" s="116" customFormat="1" ht="12.75">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v>192.60863636363638</v>
      </c>
      <c r="AG72" s="91">
        <v>184.22316624895575</v>
      </c>
      <c r="AH72" s="91">
        <v>183.2445909090909</v>
      </c>
      <c r="AI72" s="91">
        <v>174.43239775910365</v>
      </c>
      <c r="AJ72" s="91">
        <v>183.8</v>
      </c>
      <c r="AS72" s="302"/>
      <c r="AU72" s="302"/>
      <c r="AW72" s="302"/>
      <c r="AX72" s="91"/>
      <c r="AY72" s="91"/>
      <c r="AZ72" s="91"/>
      <c r="BA72" s="290"/>
      <c r="BB72" s="290"/>
      <c r="BC72" s="91"/>
      <c r="BE72" s="371"/>
      <c r="BF72" s="91"/>
      <c r="BG72" s="91"/>
      <c r="BH72" s="91"/>
      <c r="BI72" s="91"/>
      <c r="BJ72" s="91"/>
      <c r="BK72" s="91"/>
      <c r="BL72" s="91"/>
      <c r="BM72" s="91"/>
      <c r="BN72" s="91"/>
      <c r="BO72" s="91"/>
      <c r="BP72" s="91"/>
      <c r="BQ72" s="91"/>
      <c r="BR72" s="91"/>
      <c r="BS72" s="91"/>
      <c r="BT72" s="91"/>
      <c r="BU72" s="91"/>
      <c r="BV72" s="91"/>
      <c r="BW72" s="91"/>
    </row>
    <row r="73" spans="1:57" s="116" customFormat="1" ht="12.75">
      <c r="A73" s="13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S73" s="302"/>
      <c r="AU73" s="302"/>
      <c r="AW73" s="302"/>
      <c r="BA73" s="302"/>
      <c r="BB73" s="302"/>
      <c r="BE73" s="381"/>
    </row>
    <row r="74" ht="12.75"/>
    <row r="75" spans="1:75" ht="25.5">
      <c r="A75" s="89" t="s">
        <v>527</v>
      </c>
      <c r="B75" s="90">
        <v>36981</v>
      </c>
      <c r="C75" s="90">
        <v>37072</v>
      </c>
      <c r="D75" s="90">
        <v>37164</v>
      </c>
      <c r="E75" s="90">
        <v>37256</v>
      </c>
      <c r="F75" s="90"/>
      <c r="G75" s="90">
        <v>37346</v>
      </c>
      <c r="H75" s="90">
        <v>37437</v>
      </c>
      <c r="I75" s="90">
        <v>37529</v>
      </c>
      <c r="J75" s="90">
        <v>37621</v>
      </c>
      <c r="K75" s="90"/>
      <c r="L75" s="90">
        <v>37711</v>
      </c>
      <c r="M75" s="90">
        <v>37802</v>
      </c>
      <c r="N75" s="90">
        <v>37894</v>
      </c>
      <c r="O75" s="90">
        <v>37986</v>
      </c>
      <c r="P75" s="90"/>
      <c r="Q75" s="90">
        <v>38077</v>
      </c>
      <c r="R75" s="90">
        <v>38168</v>
      </c>
      <c r="S75" s="90">
        <v>38260</v>
      </c>
      <c r="T75" s="90">
        <v>38352</v>
      </c>
      <c r="U75" s="90"/>
      <c r="V75" s="166">
        <v>38442</v>
      </c>
      <c r="W75" s="166">
        <v>38533</v>
      </c>
      <c r="X75" s="166">
        <v>38625</v>
      </c>
      <c r="Y75" s="166">
        <v>38717</v>
      </c>
      <c r="Z75" s="166"/>
      <c r="AA75" s="166">
        <v>38807</v>
      </c>
      <c r="AB75" s="166">
        <v>38898</v>
      </c>
      <c r="AC75" s="166">
        <v>38990</v>
      </c>
      <c r="AD75" s="166">
        <v>39082</v>
      </c>
      <c r="AE75" s="166"/>
      <c r="AF75" s="166">
        <v>39172</v>
      </c>
      <c r="AG75" s="166">
        <v>39263</v>
      </c>
      <c r="AH75" s="166">
        <v>39355</v>
      </c>
      <c r="AI75" s="167">
        <v>39447</v>
      </c>
      <c r="AJ75" s="167"/>
      <c r="AK75" s="167">
        <v>39538</v>
      </c>
      <c r="AL75" s="167">
        <v>39629</v>
      </c>
      <c r="AM75" s="167">
        <v>39721</v>
      </c>
      <c r="AN75" s="167">
        <v>39813</v>
      </c>
      <c r="AO75" s="120"/>
      <c r="AP75" s="167">
        <v>39903</v>
      </c>
      <c r="AQ75" s="167">
        <v>39994</v>
      </c>
      <c r="AR75" s="167">
        <v>40086</v>
      </c>
      <c r="AS75" s="304"/>
      <c r="AT75" s="167">
        <v>40178</v>
      </c>
      <c r="AU75" s="304"/>
      <c r="AV75" s="120"/>
      <c r="AW75" s="311" t="s">
        <v>465</v>
      </c>
      <c r="AX75" s="167">
        <v>40268</v>
      </c>
      <c r="AY75" s="167">
        <v>40359</v>
      </c>
      <c r="AZ75" s="167">
        <v>40451</v>
      </c>
      <c r="BA75" s="304"/>
      <c r="BB75" s="304"/>
      <c r="BC75" s="167">
        <v>40543</v>
      </c>
      <c r="BD75" s="120"/>
      <c r="BE75" s="414" t="s">
        <v>551</v>
      </c>
      <c r="BF75" s="90" t="s">
        <v>556</v>
      </c>
      <c r="BG75" s="90" t="s">
        <v>563</v>
      </c>
      <c r="BH75" s="167" t="s">
        <v>550</v>
      </c>
      <c r="BI75" s="167" t="s">
        <v>583</v>
      </c>
      <c r="BJ75" s="167">
        <v>40633</v>
      </c>
      <c r="BK75" s="500"/>
      <c r="BL75" s="90" t="s">
        <v>601</v>
      </c>
      <c r="BM75" s="90" t="s">
        <v>559</v>
      </c>
      <c r="BN75" s="90" t="s">
        <v>613</v>
      </c>
      <c r="BO75" s="90" t="s">
        <v>565</v>
      </c>
      <c r="BP75" s="499" t="s">
        <v>591</v>
      </c>
      <c r="BQ75" s="499" t="s">
        <v>594</v>
      </c>
      <c r="BR75" s="167"/>
      <c r="BS75" s="90" t="s">
        <v>599</v>
      </c>
      <c r="BT75" s="166">
        <v>41090</v>
      </c>
      <c r="BU75" s="166">
        <v>41182</v>
      </c>
      <c r="BV75" s="166">
        <v>41274</v>
      </c>
      <c r="BW75" s="167"/>
    </row>
    <row r="76" spans="1:75" ht="12.75">
      <c r="A76" s="131" t="s">
        <v>524</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K76" s="129"/>
      <c r="AL76" s="129"/>
      <c r="AM76" s="129"/>
      <c r="AN76" s="129"/>
      <c r="AP76" s="129"/>
      <c r="AQ76" s="129"/>
      <c r="AR76" s="129"/>
      <c r="AS76" s="305"/>
      <c r="AT76" s="129"/>
      <c r="AU76" s="305"/>
      <c r="AX76" s="129"/>
      <c r="AY76" s="129"/>
      <c r="AZ76" s="129"/>
      <c r="BA76" s="305"/>
      <c r="BB76" s="305"/>
      <c r="BC76" s="129"/>
      <c r="BE76" s="383"/>
      <c r="BF76" s="129"/>
      <c r="BG76" s="129"/>
      <c r="BH76" s="129"/>
      <c r="BI76" s="129"/>
      <c r="BJ76" s="129"/>
      <c r="BK76" s="129"/>
      <c r="BL76" s="129"/>
      <c r="BM76" s="129"/>
      <c r="BN76" s="129"/>
      <c r="BO76" s="129"/>
      <c r="BP76" s="129"/>
      <c r="BQ76" s="129"/>
      <c r="BR76" s="129"/>
      <c r="BS76" s="129"/>
      <c r="BT76" s="129"/>
      <c r="BU76" s="129"/>
      <c r="BV76" s="129"/>
      <c r="BW76" s="129"/>
    </row>
    <row r="77" spans="1:75" ht="12.75">
      <c r="A77" s="139" t="s">
        <v>518</v>
      </c>
      <c r="B77" s="88">
        <v>284.7787318361955</v>
      </c>
      <c r="C77" s="88">
        <v>290.97425191370917</v>
      </c>
      <c r="D77" s="88">
        <v>291.41841450408816</v>
      </c>
      <c r="E77" s="88">
        <v>275.89247311827955</v>
      </c>
      <c r="F77" s="106"/>
      <c r="G77" s="88">
        <v>266.72636103151865</v>
      </c>
      <c r="H77" s="88">
        <v>294.34130522902313</v>
      </c>
      <c r="I77" s="88">
        <v>280.9822150363783</v>
      </c>
      <c r="J77" s="88">
        <v>321.9849023090586</v>
      </c>
      <c r="K77" s="106"/>
      <c r="L77" s="88">
        <v>303.1409691629956</v>
      </c>
      <c r="M77" s="88">
        <v>418.90557939914163</v>
      </c>
      <c r="N77" s="88">
        <v>461.05407882676445</v>
      </c>
      <c r="O77" s="88">
        <v>486.95045695045695</v>
      </c>
      <c r="P77" s="106"/>
      <c r="Q77" s="88">
        <v>479.5827196858125</v>
      </c>
      <c r="R77" s="88">
        <v>451.80076628352487</v>
      </c>
      <c r="S77" s="88">
        <v>453.2718204488778</v>
      </c>
      <c r="T77" s="88">
        <v>515.3466444814198</v>
      </c>
      <c r="U77" s="106"/>
      <c r="V77" s="88">
        <v>501.8920335429769</v>
      </c>
      <c r="W77" s="88">
        <v>512.4169921875</v>
      </c>
      <c r="X77" s="88">
        <v>739.7591522157996</v>
      </c>
      <c r="Y77" s="88">
        <v>683.3848314606741</v>
      </c>
      <c r="Z77" s="106"/>
      <c r="AA77" s="88">
        <v>669.1240875912409</v>
      </c>
      <c r="AB77" s="88">
        <v>674.5130748422001</v>
      </c>
      <c r="AC77" s="88">
        <v>685</v>
      </c>
      <c r="AD77" s="88">
        <v>762</v>
      </c>
      <c r="AE77" s="106"/>
      <c r="AF77" s="88">
        <v>758</v>
      </c>
      <c r="AG77" s="88">
        <v>730</v>
      </c>
      <c r="AH77" s="88">
        <v>788</v>
      </c>
      <c r="AI77" s="88">
        <v>835</v>
      </c>
      <c r="AJ77" s="106"/>
      <c r="AK77" s="88">
        <v>921</v>
      </c>
      <c r="AL77" s="88">
        <v>1028</v>
      </c>
      <c r="AM77" s="88">
        <v>956</v>
      </c>
      <c r="AN77" s="88">
        <v>884</v>
      </c>
      <c r="AO77" s="106"/>
      <c r="AP77" s="88">
        <v>720</v>
      </c>
      <c r="AQ77" s="88">
        <v>3369</v>
      </c>
      <c r="AR77" s="88">
        <v>3873</v>
      </c>
      <c r="AS77" s="100">
        <v>5474</v>
      </c>
      <c r="AT77" s="88">
        <v>5211</v>
      </c>
      <c r="AU77" s="100"/>
      <c r="AV77" s="106"/>
      <c r="AW77" s="300">
        <v>5474</v>
      </c>
      <c r="AX77" s="88">
        <v>5049</v>
      </c>
      <c r="AY77" s="88">
        <v>4586</v>
      </c>
      <c r="AZ77" s="88">
        <v>4986</v>
      </c>
      <c r="BA77" s="100"/>
      <c r="BB77" s="100"/>
      <c r="BC77" s="88">
        <v>5129</v>
      </c>
      <c r="BD77" s="106"/>
      <c r="BE77" s="372">
        <v>5051</v>
      </c>
      <c r="BF77" s="88">
        <v>4586</v>
      </c>
      <c r="BG77" s="88">
        <v>4985</v>
      </c>
      <c r="BH77" s="88">
        <v>5108</v>
      </c>
      <c r="BI77" s="88">
        <v>5108</v>
      </c>
      <c r="BJ77" s="88">
        <v>5349</v>
      </c>
      <c r="BL77" s="88">
        <v>5349</v>
      </c>
      <c r="BM77" s="88">
        <v>5294</v>
      </c>
      <c r="BN77" s="88">
        <v>5293</v>
      </c>
      <c r="BO77" s="88">
        <v>4823</v>
      </c>
      <c r="BP77" s="91">
        <v>5108</v>
      </c>
      <c r="BQ77" s="91">
        <v>4651</v>
      </c>
      <c r="BR77" s="88"/>
      <c r="BS77" s="88">
        <v>4753</v>
      </c>
      <c r="BT77" s="88">
        <v>4510</v>
      </c>
      <c r="BU77" s="88">
        <v>4625</v>
      </c>
      <c r="BV77" s="232">
        <v>4506</v>
      </c>
      <c r="BW77" s="88"/>
    </row>
    <row r="78" spans="1:75" ht="12.75">
      <c r="A78" s="139" t="s">
        <v>517</v>
      </c>
      <c r="B78" s="88">
        <v>705.224570673712</v>
      </c>
      <c r="C78" s="88">
        <v>744.8434237995825</v>
      </c>
      <c r="D78" s="88">
        <v>759.107714184145</v>
      </c>
      <c r="E78" s="88">
        <v>710.6989247311828</v>
      </c>
      <c r="F78" s="106"/>
      <c r="G78" s="88">
        <v>690.6554441260745</v>
      </c>
      <c r="H78" s="88">
        <v>743.599513579246</v>
      </c>
      <c r="I78" s="88">
        <v>730.7033144704931</v>
      </c>
      <c r="J78" s="88">
        <v>825.714920071048</v>
      </c>
      <c r="K78" s="106"/>
      <c r="L78" s="88">
        <v>792.4845814977973</v>
      </c>
      <c r="M78" s="88">
        <v>1593.7854077253219</v>
      </c>
      <c r="N78" s="88">
        <v>1643.0751604032998</v>
      </c>
      <c r="O78" s="88">
        <v>1918.2539682539682</v>
      </c>
      <c r="P78" s="106"/>
      <c r="Q78" s="88">
        <v>2111.246931762396</v>
      </c>
      <c r="R78" s="88">
        <v>2096.1685823754788</v>
      </c>
      <c r="S78" s="88">
        <v>2211.795511221945</v>
      </c>
      <c r="T78" s="88">
        <v>2579.778147531891</v>
      </c>
      <c r="U78" s="106"/>
      <c r="V78" s="88">
        <v>2441.4150943396226</v>
      </c>
      <c r="W78" s="88">
        <v>2436.2158203125</v>
      </c>
      <c r="X78" s="88">
        <v>2381.315028901734</v>
      </c>
      <c r="Y78" s="88">
        <v>2415.5149812734085</v>
      </c>
      <c r="Z78" s="106"/>
      <c r="AA78" s="88">
        <v>2362.750912408759</v>
      </c>
      <c r="AB78" s="88">
        <v>2368.728584310189</v>
      </c>
      <c r="AC78" s="88">
        <v>2444</v>
      </c>
      <c r="AD78" s="88">
        <v>2693</v>
      </c>
      <c r="AE78" s="106"/>
      <c r="AF78" s="88">
        <v>2858</v>
      </c>
      <c r="AG78" s="88">
        <v>2859</v>
      </c>
      <c r="AH78" s="88">
        <v>2948</v>
      </c>
      <c r="AI78" s="88">
        <v>3859</v>
      </c>
      <c r="AJ78" s="106"/>
      <c r="AK78" s="88">
        <v>4102</v>
      </c>
      <c r="AL78" s="88">
        <v>4454</v>
      </c>
      <c r="AM78" s="88">
        <v>3970</v>
      </c>
      <c r="AN78" s="88">
        <v>3986</v>
      </c>
      <c r="AO78" s="106"/>
      <c r="AP78" s="88">
        <v>3550</v>
      </c>
      <c r="AQ78" s="88">
        <v>5253</v>
      </c>
      <c r="AR78" s="88">
        <v>5454</v>
      </c>
      <c r="AS78" s="100">
        <v>5054</v>
      </c>
      <c r="AT78" s="88">
        <v>5426</v>
      </c>
      <c r="AU78" s="100"/>
      <c r="AV78" s="106"/>
      <c r="AW78" s="300">
        <v>5054</v>
      </c>
      <c r="AX78" s="88">
        <v>4714</v>
      </c>
      <c r="AY78" s="88">
        <v>4251</v>
      </c>
      <c r="AZ78" s="88">
        <v>4736</v>
      </c>
      <c r="BA78" s="100"/>
      <c r="BB78" s="100"/>
      <c r="BC78" s="88">
        <v>4655</v>
      </c>
      <c r="BD78" s="106"/>
      <c r="BE78" s="372">
        <v>5718</v>
      </c>
      <c r="BF78" s="88">
        <v>5123</v>
      </c>
      <c r="BG78" s="88">
        <v>5733</v>
      </c>
      <c r="BH78" s="88">
        <v>5635</v>
      </c>
      <c r="BI78" s="88">
        <v>5681</v>
      </c>
      <c r="BJ78" s="88">
        <v>6037</v>
      </c>
      <c r="BL78" s="88">
        <v>6085</v>
      </c>
      <c r="BM78" s="88">
        <v>6104</v>
      </c>
      <c r="BN78" s="88">
        <v>6119</v>
      </c>
      <c r="BO78" s="88">
        <v>5564</v>
      </c>
      <c r="BP78" s="91">
        <v>5681</v>
      </c>
      <c r="BQ78" s="91">
        <v>5268</v>
      </c>
      <c r="BR78" s="88"/>
      <c r="BS78" s="88">
        <v>5445</v>
      </c>
      <c r="BT78" s="88">
        <v>5173</v>
      </c>
      <c r="BU78" s="88">
        <v>5313</v>
      </c>
      <c r="BV78" s="232">
        <v>5424</v>
      </c>
      <c r="BW78" s="88"/>
    </row>
    <row r="79" spans="1:75" ht="12.75">
      <c r="A79" s="139" t="s">
        <v>516</v>
      </c>
      <c r="B79" s="88">
        <v>372.1036988110964</v>
      </c>
      <c r="C79" s="88">
        <v>370.46624913013227</v>
      </c>
      <c r="D79" s="88">
        <v>371.71347316032706</v>
      </c>
      <c r="E79" s="88">
        <v>371.0537634408602</v>
      </c>
      <c r="F79" s="106"/>
      <c r="G79" s="88">
        <v>364.724212034384</v>
      </c>
      <c r="H79" s="88">
        <v>408.7515200648561</v>
      </c>
      <c r="I79" s="88">
        <v>405.5658852061439</v>
      </c>
      <c r="J79" s="88">
        <v>448.2815275310835</v>
      </c>
      <c r="K79" s="106"/>
      <c r="L79" s="88">
        <v>502.3832599118943</v>
      </c>
      <c r="M79" s="88">
        <v>488.2618025751073</v>
      </c>
      <c r="N79" s="88">
        <v>457.9880843263062</v>
      </c>
      <c r="O79" s="88">
        <v>505.29100529100526</v>
      </c>
      <c r="P79" s="106"/>
      <c r="Q79" s="88">
        <v>505.86647029946</v>
      </c>
      <c r="R79" s="88">
        <v>493.9655172413793</v>
      </c>
      <c r="S79" s="88">
        <v>520.7730673316709</v>
      </c>
      <c r="T79" s="88">
        <v>621.7138103161398</v>
      </c>
      <c r="U79" s="106"/>
      <c r="V79" s="88">
        <v>602.9035639412998</v>
      </c>
      <c r="W79" s="88">
        <v>574.27734375</v>
      </c>
      <c r="X79" s="88">
        <v>581.3680154142583</v>
      </c>
      <c r="Y79" s="88">
        <v>900.4868913857678</v>
      </c>
      <c r="Z79" s="106"/>
      <c r="AA79" s="88">
        <v>337.4954379562044</v>
      </c>
      <c r="AB79" s="88">
        <v>342.68710550045085</v>
      </c>
      <c r="AC79" s="88">
        <v>356</v>
      </c>
      <c r="AD79" s="88">
        <v>1004</v>
      </c>
      <c r="AE79" s="106"/>
      <c r="AF79" s="88">
        <v>420</v>
      </c>
      <c r="AG79" s="88">
        <v>428</v>
      </c>
      <c r="AH79" s="88">
        <v>478</v>
      </c>
      <c r="AI79" s="88">
        <v>583</v>
      </c>
      <c r="AJ79" s="106"/>
      <c r="AK79" s="88">
        <v>722</v>
      </c>
      <c r="AL79" s="88">
        <v>1021</v>
      </c>
      <c r="AM79" s="88">
        <v>1125</v>
      </c>
      <c r="AN79" s="88">
        <v>1234</v>
      </c>
      <c r="AO79" s="106"/>
      <c r="AP79" s="88">
        <v>1109</v>
      </c>
      <c r="AQ79" s="88">
        <v>1366</v>
      </c>
      <c r="AR79" s="88">
        <v>1472</v>
      </c>
      <c r="AS79" s="100">
        <v>1902</v>
      </c>
      <c r="AT79" s="88">
        <v>1553</v>
      </c>
      <c r="AU79" s="100"/>
      <c r="AV79" s="106"/>
      <c r="AW79" s="300">
        <v>1902</v>
      </c>
      <c r="AX79" s="88">
        <v>1608</v>
      </c>
      <c r="AY79" s="88">
        <v>1757</v>
      </c>
      <c r="AZ79" s="88">
        <v>2084</v>
      </c>
      <c r="BA79" s="100"/>
      <c r="BB79" s="100"/>
      <c r="BC79" s="88">
        <v>2060</v>
      </c>
      <c r="BD79" s="106"/>
      <c r="BE79" s="372">
        <v>1852</v>
      </c>
      <c r="BF79" s="88">
        <v>1671</v>
      </c>
      <c r="BG79" s="88">
        <v>1962</v>
      </c>
      <c r="BH79" s="88">
        <v>1932</v>
      </c>
      <c r="BI79" s="88">
        <v>1932</v>
      </c>
      <c r="BJ79" s="88">
        <v>2099</v>
      </c>
      <c r="BL79" s="88">
        <v>2099</v>
      </c>
      <c r="BM79" s="88">
        <v>2100</v>
      </c>
      <c r="BN79" s="88">
        <v>2099</v>
      </c>
      <c r="BO79" s="88">
        <v>1869</v>
      </c>
      <c r="BP79" s="91">
        <v>1932</v>
      </c>
      <c r="BQ79" s="91">
        <v>1720</v>
      </c>
      <c r="BR79" s="88"/>
      <c r="BS79" s="88">
        <v>1810</v>
      </c>
      <c r="BT79" s="88">
        <v>1718</v>
      </c>
      <c r="BU79" s="88">
        <v>1771</v>
      </c>
      <c r="BV79" s="232">
        <v>1771</v>
      </c>
      <c r="BW79" s="88"/>
    </row>
    <row r="80" spans="1:74" s="106" customFormat="1" ht="12.75" hidden="1">
      <c r="A80" s="406" t="s">
        <v>62</v>
      </c>
      <c r="B80" s="106">
        <v>310.15852047556143</v>
      </c>
      <c r="C80" s="106">
        <v>303.46207376478776</v>
      </c>
      <c r="D80" s="106">
        <v>308.8517596871667</v>
      </c>
      <c r="E80" s="106">
        <v>309.15770609319</v>
      </c>
      <c r="G80" s="106">
        <v>275.8452722063037</v>
      </c>
      <c r="H80" s="106">
        <v>338.6461289014998</v>
      </c>
      <c r="I80" s="106">
        <v>317.70008084074374</v>
      </c>
      <c r="J80" s="106">
        <v>330.11101243339255</v>
      </c>
      <c r="L80" s="106">
        <v>402.18502202643174</v>
      </c>
      <c r="M80" s="106">
        <v>605.7210300429184</v>
      </c>
      <c r="N80" s="106">
        <v>721.5627864344639</v>
      </c>
      <c r="O80" s="106">
        <v>850.00481000481</v>
      </c>
      <c r="Q80" s="106">
        <v>815.4099165439372</v>
      </c>
      <c r="R80" s="106">
        <v>896.7816091954022</v>
      </c>
      <c r="S80" s="106">
        <v>963.2568578553615</v>
      </c>
      <c r="T80" s="106">
        <v>1073.4220743205767</v>
      </c>
      <c r="V80" s="106">
        <v>993.1551362683438</v>
      </c>
      <c r="W80" s="106">
        <v>905.3271484375</v>
      </c>
      <c r="X80" s="106">
        <v>964.8603082851638</v>
      </c>
      <c r="Y80" s="106">
        <v>945.8426966292135</v>
      </c>
      <c r="AA80" s="106">
        <v>923.7728102189782</v>
      </c>
      <c r="AB80" s="106">
        <v>909.7385031559963</v>
      </c>
      <c r="AC80" s="106">
        <v>918</v>
      </c>
      <c r="AD80" s="106">
        <v>1054</v>
      </c>
      <c r="AF80" s="106">
        <v>1037</v>
      </c>
      <c r="AG80" s="106">
        <v>1032</v>
      </c>
      <c r="AH80" s="106">
        <v>1058</v>
      </c>
      <c r="AI80" s="106">
        <v>1079</v>
      </c>
      <c r="AK80" s="106">
        <v>1126</v>
      </c>
      <c r="AL80" s="106">
        <v>1214</v>
      </c>
      <c r="AM80" s="106">
        <v>1065</v>
      </c>
      <c r="AN80" s="106">
        <v>972</v>
      </c>
      <c r="AP80" s="106">
        <v>808</v>
      </c>
      <c r="AQ80" s="106">
        <v>953</v>
      </c>
      <c r="AR80" s="106">
        <v>994</v>
      </c>
      <c r="AS80" s="300">
        <v>973</v>
      </c>
      <c r="AT80" s="106">
        <v>972</v>
      </c>
      <c r="AU80" s="300"/>
      <c r="AW80" s="300">
        <v>973</v>
      </c>
      <c r="AX80" s="106">
        <v>906</v>
      </c>
      <c r="AY80" s="106">
        <v>780</v>
      </c>
      <c r="AZ80" s="106">
        <v>876</v>
      </c>
      <c r="BA80" s="300"/>
      <c r="BB80" s="300"/>
      <c r="BC80" s="106">
        <v>846</v>
      </c>
      <c r="BE80" s="378"/>
      <c r="BF80" s="106">
        <v>0</v>
      </c>
      <c r="BG80" s="106">
        <v>0</v>
      </c>
      <c r="BK80" s="91"/>
      <c r="BL80" s="91"/>
      <c r="BM80" s="91">
        <v>0</v>
      </c>
      <c r="BN80" s="91"/>
      <c r="BO80" s="91">
        <v>0</v>
      </c>
      <c r="BP80" s="91"/>
      <c r="BQ80" s="91"/>
      <c r="BS80" s="91"/>
      <c r="BT80" s="91"/>
      <c r="BU80" s="91">
        <v>0</v>
      </c>
      <c r="BV80" s="91"/>
    </row>
    <row r="81" spans="1:75" ht="12.75">
      <c r="A81" s="124" t="s">
        <v>195</v>
      </c>
      <c r="B81" s="88">
        <v>82.64531043593131</v>
      </c>
      <c r="C81" s="88">
        <v>83.89352818371609</v>
      </c>
      <c r="D81" s="88">
        <v>87.65375044436544</v>
      </c>
      <c r="E81" s="88">
        <v>85.1326164874552</v>
      </c>
      <c r="F81" s="106"/>
      <c r="G81" s="88">
        <v>108.64255014326648</v>
      </c>
      <c r="H81" s="88">
        <v>93.60762059181192</v>
      </c>
      <c r="I81" s="88">
        <v>113.36297493936944</v>
      </c>
      <c r="J81" s="88">
        <v>173.10390763765542</v>
      </c>
      <c r="K81" s="106"/>
      <c r="L81" s="88">
        <v>125.60352422907489</v>
      </c>
      <c r="M81" s="88">
        <v>271.6523605150215</v>
      </c>
      <c r="N81" s="88">
        <v>331.4298808432631</v>
      </c>
      <c r="O81" s="88">
        <v>356.6281866281866</v>
      </c>
      <c r="P81" s="106"/>
      <c r="Q81" s="88">
        <v>277.94305351006386</v>
      </c>
      <c r="R81" s="88">
        <v>270</v>
      </c>
      <c r="S81" s="88">
        <v>276.33915211970077</v>
      </c>
      <c r="T81" s="88">
        <v>340.46034387132556</v>
      </c>
      <c r="U81" s="106"/>
      <c r="V81" s="88">
        <v>320.50314465408803</v>
      </c>
      <c r="W81" s="88">
        <v>328.798828125</v>
      </c>
      <c r="X81" s="88">
        <v>267.71194605009634</v>
      </c>
      <c r="Y81" s="88">
        <v>264.2883895131086</v>
      </c>
      <c r="Z81" s="106"/>
      <c r="AA81" s="88">
        <v>265.92153284671537</v>
      </c>
      <c r="AB81" s="88">
        <v>259.8647430117223</v>
      </c>
      <c r="AC81" s="88">
        <v>276</v>
      </c>
      <c r="AD81" s="88">
        <v>295</v>
      </c>
      <c r="AE81" s="106"/>
      <c r="AF81" s="88">
        <v>346</v>
      </c>
      <c r="AG81" s="88">
        <v>344</v>
      </c>
      <c r="AH81" s="88">
        <v>374</v>
      </c>
      <c r="AI81" s="88">
        <v>444</v>
      </c>
      <c r="AJ81" s="106"/>
      <c r="AK81" s="88">
        <v>481</v>
      </c>
      <c r="AL81" s="88">
        <v>524</v>
      </c>
      <c r="AM81" s="88">
        <v>465</v>
      </c>
      <c r="AN81" s="88">
        <v>459</v>
      </c>
      <c r="AO81" s="106"/>
      <c r="AP81" s="88">
        <v>378</v>
      </c>
      <c r="AQ81" s="88">
        <v>576</v>
      </c>
      <c r="AR81" s="88">
        <v>588</v>
      </c>
      <c r="AS81" s="100">
        <v>539</v>
      </c>
      <c r="AT81" s="88">
        <v>539</v>
      </c>
      <c r="AU81" s="100"/>
      <c r="AV81" s="106"/>
      <c r="AW81" s="300">
        <v>539</v>
      </c>
      <c r="AX81" s="88">
        <v>502</v>
      </c>
      <c r="AY81" s="88">
        <v>432</v>
      </c>
      <c r="AZ81" s="88">
        <v>476</v>
      </c>
      <c r="BA81" s="100"/>
      <c r="BB81" s="100"/>
      <c r="BC81" s="88">
        <v>461</v>
      </c>
      <c r="BD81" s="106"/>
      <c r="BE81" s="372">
        <v>495</v>
      </c>
      <c r="BF81" s="88">
        <v>432</v>
      </c>
      <c r="BG81" s="88">
        <v>476</v>
      </c>
      <c r="BH81" s="88">
        <v>461</v>
      </c>
      <c r="BI81" s="88">
        <v>461</v>
      </c>
      <c r="BJ81" s="88">
        <v>490</v>
      </c>
      <c r="BL81" s="88">
        <v>490</v>
      </c>
      <c r="BM81" s="88">
        <v>486</v>
      </c>
      <c r="BN81" s="88">
        <v>486</v>
      </c>
      <c r="BO81" s="88">
        <v>433</v>
      </c>
      <c r="BP81" s="91">
        <v>461</v>
      </c>
      <c r="BQ81" s="91">
        <v>390</v>
      </c>
      <c r="BR81" s="88"/>
      <c r="BS81" s="88">
        <v>401</v>
      </c>
      <c r="BT81" s="88">
        <v>366</v>
      </c>
      <c r="BU81" s="88">
        <v>374</v>
      </c>
      <c r="BV81" s="232">
        <v>413</v>
      </c>
      <c r="BW81" s="88"/>
    </row>
    <row r="82" spans="1:75" ht="12.75">
      <c r="A82" s="124" t="s">
        <v>452</v>
      </c>
      <c r="B82" s="88"/>
      <c r="C82" s="88"/>
      <c r="D82" s="88"/>
      <c r="E82" s="88"/>
      <c r="F82" s="106"/>
      <c r="G82" s="88"/>
      <c r="H82" s="88"/>
      <c r="I82" s="88"/>
      <c r="J82" s="88"/>
      <c r="K82" s="106"/>
      <c r="L82" s="88"/>
      <c r="M82" s="88"/>
      <c r="N82" s="88"/>
      <c r="O82" s="88"/>
      <c r="P82" s="106"/>
      <c r="Q82" s="88"/>
      <c r="R82" s="88"/>
      <c r="S82" s="88"/>
      <c r="T82" s="88"/>
      <c r="U82" s="106"/>
      <c r="V82" s="88"/>
      <c r="W82" s="88"/>
      <c r="X82" s="88"/>
      <c r="Y82" s="88"/>
      <c r="Z82" s="106"/>
      <c r="AA82" s="88"/>
      <c r="AB82" s="88"/>
      <c r="AC82" s="88"/>
      <c r="AD82" s="88"/>
      <c r="AE82" s="106"/>
      <c r="AF82" s="88"/>
      <c r="AG82" s="88"/>
      <c r="AH82" s="88"/>
      <c r="AI82" s="88"/>
      <c r="AJ82" s="106"/>
      <c r="AK82" s="88"/>
      <c r="AL82" s="88"/>
      <c r="AM82" s="88"/>
      <c r="AN82" s="88"/>
      <c r="AO82" s="106"/>
      <c r="AP82" s="88"/>
      <c r="AQ82" s="88"/>
      <c r="AR82" s="88"/>
      <c r="AS82" s="100">
        <v>-357</v>
      </c>
      <c r="AT82" s="88"/>
      <c r="AU82" s="100"/>
      <c r="AV82" s="106"/>
      <c r="AW82" s="300">
        <v>-357</v>
      </c>
      <c r="AX82" s="88"/>
      <c r="AY82" s="88">
        <v>-286</v>
      </c>
      <c r="AZ82" s="88">
        <v>-323</v>
      </c>
      <c r="BA82" s="100"/>
      <c r="BB82" s="100"/>
      <c r="BC82" s="88">
        <v>-311</v>
      </c>
      <c r="BD82" s="106"/>
      <c r="BE82" s="372">
        <v>-334</v>
      </c>
      <c r="BF82" s="88">
        <v>-286</v>
      </c>
      <c r="BG82" s="88">
        <v>-323</v>
      </c>
      <c r="BH82" s="88">
        <v>-312</v>
      </c>
      <c r="BI82" s="88">
        <v>-312</v>
      </c>
      <c r="BJ82" s="88">
        <v>-346</v>
      </c>
      <c r="BL82" s="88">
        <v>-346</v>
      </c>
      <c r="BM82" s="88">
        <v>-341</v>
      </c>
      <c r="BN82" s="88">
        <v>-341</v>
      </c>
      <c r="BO82" s="88">
        <v>-308</v>
      </c>
      <c r="BP82" s="91">
        <v>-312</v>
      </c>
      <c r="BQ82" s="91">
        <v>-292</v>
      </c>
      <c r="BR82" s="88"/>
      <c r="BS82" s="88">
        <v>-299</v>
      </c>
      <c r="BT82" s="88">
        <v>-274</v>
      </c>
      <c r="BU82" s="88">
        <v>-284</v>
      </c>
      <c r="BV82" s="232">
        <v>-292</v>
      </c>
      <c r="BW82" s="88"/>
    </row>
    <row r="83" spans="1:74" s="108" customFormat="1" ht="12.75" hidden="1">
      <c r="A83" s="409" t="s">
        <v>430</v>
      </c>
      <c r="B83" s="108">
        <v>1754.9108322324967</v>
      </c>
      <c r="C83" s="108">
        <v>1793.639526791928</v>
      </c>
      <c r="D83" s="108">
        <v>1818.7451119800926</v>
      </c>
      <c r="E83" s="108">
        <v>1751.9354838709678</v>
      </c>
      <c r="G83" s="108">
        <v>1706.5938395415474</v>
      </c>
      <c r="H83" s="108">
        <v>1878.946088366437</v>
      </c>
      <c r="I83" s="108">
        <v>1848.3144704931285</v>
      </c>
      <c r="J83" s="108">
        <v>2099.196269982238</v>
      </c>
      <c r="L83" s="108">
        <v>2125.797356828194</v>
      </c>
      <c r="M83" s="108">
        <v>3378.3261802575103</v>
      </c>
      <c r="N83" s="108">
        <v>3615.1099908340975</v>
      </c>
      <c r="O83" s="108">
        <v>4117.128427128428</v>
      </c>
      <c r="Q83" s="108">
        <v>4190.049091801669</v>
      </c>
      <c r="R83" s="108">
        <v>4208.716475095785</v>
      </c>
      <c r="S83" s="108">
        <v>4425.436408977556</v>
      </c>
      <c r="T83" s="108">
        <v>5130.721020521353</v>
      </c>
      <c r="V83" s="108">
        <v>4859.868972746332</v>
      </c>
      <c r="W83" s="108">
        <v>4757.0361328125</v>
      </c>
      <c r="X83" s="108">
        <v>4935.014450867052</v>
      </c>
      <c r="Y83" s="108">
        <v>5209.517790262173</v>
      </c>
      <c r="AA83" s="108">
        <v>4559.064781021898</v>
      </c>
      <c r="AB83" s="108">
        <v>4555.532010820559</v>
      </c>
      <c r="AC83" s="108">
        <v>4678</v>
      </c>
      <c r="AD83" s="108">
        <v>5808</v>
      </c>
      <c r="AF83" s="108">
        <v>5419</v>
      </c>
      <c r="AG83" s="108">
        <v>5393</v>
      </c>
      <c r="AH83" s="108">
        <v>5646</v>
      </c>
      <c r="AI83" s="108">
        <v>6800</v>
      </c>
      <c r="AK83" s="108">
        <v>7352</v>
      </c>
      <c r="AL83" s="108">
        <v>8241</v>
      </c>
      <c r="AM83" s="108">
        <v>7581</v>
      </c>
      <c r="AN83" s="108">
        <v>7535</v>
      </c>
      <c r="AP83" s="108">
        <v>6565</v>
      </c>
      <c r="AQ83" s="108">
        <v>11517</v>
      </c>
      <c r="AR83" s="108">
        <v>12381</v>
      </c>
      <c r="AS83" s="300">
        <v>0</v>
      </c>
      <c r="AT83" s="106">
        <v>13701</v>
      </c>
      <c r="AU83" s="300"/>
      <c r="AW83" s="308"/>
      <c r="AX83" s="108">
        <v>12779</v>
      </c>
      <c r="AY83" s="108">
        <v>11520</v>
      </c>
      <c r="AZ83" s="108">
        <v>12835</v>
      </c>
      <c r="BA83" s="308"/>
      <c r="BB83" s="308"/>
      <c r="BE83" s="386"/>
      <c r="BK83" s="116"/>
      <c r="BL83" s="116"/>
      <c r="BM83" s="116"/>
      <c r="BN83" s="116"/>
      <c r="BO83" s="116"/>
      <c r="BP83" s="116"/>
      <c r="BQ83" s="116"/>
      <c r="BS83" s="116"/>
      <c r="BT83" s="116"/>
      <c r="BU83" s="116"/>
      <c r="BV83" s="116"/>
    </row>
    <row r="84" spans="1:74" s="108" customFormat="1" ht="12.75" hidden="1">
      <c r="A84" s="406" t="s">
        <v>437</v>
      </c>
      <c r="AR84" s="108" t="s">
        <v>296</v>
      </c>
      <c r="AS84" s="300">
        <v>0</v>
      </c>
      <c r="AT84" s="106" t="s">
        <v>308</v>
      </c>
      <c r="AU84" s="300"/>
      <c r="AW84" s="308"/>
      <c r="AX84" s="108">
        <v>0</v>
      </c>
      <c r="AY84" s="108">
        <v>0</v>
      </c>
      <c r="AZ84" s="108" t="s">
        <v>296</v>
      </c>
      <c r="BA84" s="308"/>
      <c r="BB84" s="308"/>
      <c r="BE84" s="386"/>
      <c r="BK84" s="116"/>
      <c r="BL84" s="116"/>
      <c r="BM84" s="116"/>
      <c r="BN84" s="116"/>
      <c r="BO84" s="116"/>
      <c r="BP84" s="116"/>
      <c r="BQ84" s="116"/>
      <c r="BS84" s="116"/>
      <c r="BT84" s="116"/>
      <c r="BU84" s="116"/>
      <c r="BV84" s="116"/>
    </row>
    <row r="85" spans="1:75" s="116" customFormat="1" ht="12.75">
      <c r="A85" s="104" t="s">
        <v>431</v>
      </c>
      <c r="B85" s="96"/>
      <c r="C85" s="96"/>
      <c r="D85" s="96"/>
      <c r="E85" s="96"/>
      <c r="F85" s="108"/>
      <c r="G85" s="96"/>
      <c r="H85" s="96"/>
      <c r="I85" s="96"/>
      <c r="J85" s="96"/>
      <c r="K85" s="108"/>
      <c r="L85" s="96"/>
      <c r="M85" s="96"/>
      <c r="N85" s="96"/>
      <c r="O85" s="96"/>
      <c r="P85" s="108"/>
      <c r="Q85" s="96"/>
      <c r="R85" s="96"/>
      <c r="S85" s="96"/>
      <c r="T85" s="96"/>
      <c r="U85" s="108"/>
      <c r="V85" s="96">
        <v>4859.868972746332</v>
      </c>
      <c r="W85" s="96">
        <v>4757.0361328125</v>
      </c>
      <c r="X85" s="96">
        <v>4935.014450867052</v>
      </c>
      <c r="Y85" s="96">
        <v>5209.517790262173</v>
      </c>
      <c r="Z85" s="108"/>
      <c r="AA85" s="96">
        <v>4559.064781021898</v>
      </c>
      <c r="AB85" s="96">
        <v>4555.532010820559</v>
      </c>
      <c r="AC85" s="96">
        <v>4678</v>
      </c>
      <c r="AD85" s="96">
        <v>5808</v>
      </c>
      <c r="AE85" s="108"/>
      <c r="AF85" s="96">
        <v>5419</v>
      </c>
      <c r="AG85" s="96">
        <v>5393</v>
      </c>
      <c r="AH85" s="96">
        <v>5646</v>
      </c>
      <c r="AI85" s="96">
        <v>6800</v>
      </c>
      <c r="AJ85" s="108"/>
      <c r="AK85" s="96">
        <v>7352</v>
      </c>
      <c r="AL85" s="96">
        <v>8241</v>
      </c>
      <c r="AM85" s="96">
        <v>7581</v>
      </c>
      <c r="AN85" s="96">
        <v>7535</v>
      </c>
      <c r="AO85" s="108"/>
      <c r="AP85" s="96">
        <v>6565</v>
      </c>
      <c r="AQ85" s="96">
        <v>11517</v>
      </c>
      <c r="AR85" s="96">
        <v>12381</v>
      </c>
      <c r="AS85" s="100">
        <v>13585</v>
      </c>
      <c r="AT85" s="88">
        <v>13701</v>
      </c>
      <c r="AU85" s="100"/>
      <c r="AV85" s="108"/>
      <c r="AW85" s="308">
        <v>13585</v>
      </c>
      <c r="AX85" s="96">
        <v>12779</v>
      </c>
      <c r="AY85" s="96">
        <v>11520</v>
      </c>
      <c r="AZ85" s="96">
        <v>12835</v>
      </c>
      <c r="BA85" s="294"/>
      <c r="BB85" s="294"/>
      <c r="BC85" s="96">
        <v>12840</v>
      </c>
      <c r="BD85" s="108"/>
      <c r="BE85" s="373">
        <v>12782</v>
      </c>
      <c r="BF85" s="96">
        <v>11526</v>
      </c>
      <c r="BG85" s="96">
        <v>12833</v>
      </c>
      <c r="BH85" s="96">
        <v>12824</v>
      </c>
      <c r="BI85" s="96">
        <v>12870</v>
      </c>
      <c r="BJ85" s="96">
        <v>13629</v>
      </c>
      <c r="BL85" s="96">
        <v>13677</v>
      </c>
      <c r="BM85" s="96">
        <v>13643</v>
      </c>
      <c r="BN85" s="96">
        <v>13656</v>
      </c>
      <c r="BO85" s="96">
        <v>12381</v>
      </c>
      <c r="BP85" s="116">
        <v>12870</v>
      </c>
      <c r="BQ85" s="116">
        <v>11737</v>
      </c>
      <c r="BR85" s="96"/>
      <c r="BS85" s="96">
        <v>12110</v>
      </c>
      <c r="BT85" s="96">
        <v>11493</v>
      </c>
      <c r="BU85" s="96">
        <v>11799</v>
      </c>
      <c r="BV85" s="96">
        <f>SUM(BV77:BV84)</f>
        <v>11822</v>
      </c>
      <c r="BW85" s="96"/>
    </row>
    <row r="86" spans="1:37" ht="12.75">
      <c r="A86" s="131" t="s">
        <v>301</v>
      </c>
      <c r="AF86" s="91">
        <v>186.1</v>
      </c>
      <c r="AG86" s="91">
        <v>182.7</v>
      </c>
      <c r="AH86" s="91">
        <v>176.8</v>
      </c>
      <c r="AI86" s="91">
        <v>172.6</v>
      </c>
      <c r="AK86" s="91">
        <v>163.9</v>
      </c>
    </row>
    <row r="87" spans="1:75" s="116" customFormat="1" ht="12.75">
      <c r="A87" s="3" t="s">
        <v>478</v>
      </c>
      <c r="AS87" s="302"/>
      <c r="AU87" s="302"/>
      <c r="AW87" s="302"/>
      <c r="AX87" s="91"/>
      <c r="AY87" s="91"/>
      <c r="AZ87" s="91"/>
      <c r="BA87" s="290"/>
      <c r="BB87" s="290"/>
      <c r="BC87" s="91"/>
      <c r="BE87" s="371"/>
      <c r="BF87" s="91"/>
      <c r="BG87" s="91"/>
      <c r="BH87" s="91"/>
      <c r="BI87" s="91"/>
      <c r="BJ87" s="91"/>
      <c r="BK87" s="91"/>
      <c r="BL87" s="91"/>
      <c r="BM87" s="91"/>
      <c r="BN87" s="91"/>
      <c r="BO87" s="91"/>
      <c r="BP87" s="91"/>
      <c r="BQ87" s="91"/>
      <c r="BR87" s="91"/>
      <c r="BS87" s="91"/>
      <c r="BT87" s="91"/>
      <c r="BU87" s="91"/>
      <c r="BV87" s="91"/>
      <c r="BW87" s="91"/>
    </row>
    <row r="88" ht="12.75">
      <c r="A88" s="3" t="s">
        <v>523</v>
      </c>
    </row>
    <row r="89" spans="1:74" s="3" customFormat="1" ht="12.75">
      <c r="A89" s="3" t="s">
        <v>592</v>
      </c>
      <c r="AS89" s="265"/>
      <c r="AU89" s="265"/>
      <c r="AW89" s="265"/>
      <c r="BA89" s="265"/>
      <c r="BB89" s="265"/>
      <c r="BE89" s="360"/>
      <c r="BL89" s="171"/>
      <c r="BM89" s="171"/>
      <c r="BN89" s="171"/>
      <c r="BO89" s="171"/>
      <c r="BP89" s="171"/>
      <c r="BQ89" s="171"/>
      <c r="BS89" s="171"/>
      <c r="BT89" s="171"/>
      <c r="BU89" s="171"/>
      <c r="BV89" s="171"/>
    </row>
    <row r="90" ht="12.75">
      <c r="A90" s="3" t="s">
        <v>552</v>
      </c>
    </row>
    <row r="91" ht="12.75">
      <c r="A91" s="3" t="s">
        <v>0</v>
      </c>
    </row>
    <row r="92" ht="12.75"/>
    <row r="93" ht="12.75"/>
    <row r="94" ht="12.75">
      <c r="A94" s="118" t="s">
        <v>357</v>
      </c>
    </row>
    <row r="95" ht="12.75"/>
    <row r="96" spans="1:75" ht="25.5">
      <c r="A96" s="180" t="s">
        <v>390</v>
      </c>
      <c r="B96" s="90" t="s">
        <v>2</v>
      </c>
      <c r="C96" s="90" t="s">
        <v>3</v>
      </c>
      <c r="D96" s="90" t="s">
        <v>4</v>
      </c>
      <c r="E96" s="90" t="s">
        <v>5</v>
      </c>
      <c r="F96" s="90" t="s">
        <v>6</v>
      </c>
      <c r="G96" s="90" t="s">
        <v>12</v>
      </c>
      <c r="H96" s="90" t="s">
        <v>13</v>
      </c>
      <c r="I96" s="90" t="s">
        <v>14</v>
      </c>
      <c r="J96" s="90" t="s">
        <v>15</v>
      </c>
      <c r="K96" s="90" t="s">
        <v>16</v>
      </c>
      <c r="L96" s="90" t="s">
        <v>17</v>
      </c>
      <c r="M96" s="90" t="s">
        <v>18</v>
      </c>
      <c r="N96" s="90" t="s">
        <v>19</v>
      </c>
      <c r="O96" s="90" t="s">
        <v>20</v>
      </c>
      <c r="P96" s="90" t="s">
        <v>21</v>
      </c>
      <c r="Q96" s="90" t="s">
        <v>22</v>
      </c>
      <c r="R96" s="90" t="s">
        <v>23</v>
      </c>
      <c r="S96" s="90" t="s">
        <v>24</v>
      </c>
      <c r="T96" s="90" t="s">
        <v>25</v>
      </c>
      <c r="U96" s="90" t="s">
        <v>26</v>
      </c>
      <c r="V96" s="181" t="s">
        <v>27</v>
      </c>
      <c r="W96" s="181" t="s">
        <v>28</v>
      </c>
      <c r="X96" s="181" t="s">
        <v>29</v>
      </c>
      <c r="Y96" s="181" t="s">
        <v>30</v>
      </c>
      <c r="Z96" s="181" t="s">
        <v>31</v>
      </c>
      <c r="AA96" s="181" t="s">
        <v>32</v>
      </c>
      <c r="AB96" s="181" t="s">
        <v>33</v>
      </c>
      <c r="AC96" s="181" t="s">
        <v>34</v>
      </c>
      <c r="AD96" s="181" t="s">
        <v>271</v>
      </c>
      <c r="AE96" s="181" t="s">
        <v>272</v>
      </c>
      <c r="AF96" s="181" t="s">
        <v>274</v>
      </c>
      <c r="AG96" s="181" t="s">
        <v>276</v>
      </c>
      <c r="AH96" s="181" t="s">
        <v>278</v>
      </c>
      <c r="AI96" s="188" t="s">
        <v>280</v>
      </c>
      <c r="AJ96" s="188" t="s">
        <v>281</v>
      </c>
      <c r="AK96" s="188" t="s">
        <v>289</v>
      </c>
      <c r="AL96" s="188" t="s">
        <v>290</v>
      </c>
      <c r="AM96" s="188" t="s">
        <v>291</v>
      </c>
      <c r="AN96" s="188" t="s">
        <v>292</v>
      </c>
      <c r="AO96" s="188" t="s">
        <v>293</v>
      </c>
      <c r="AP96" s="188" t="s">
        <v>329</v>
      </c>
      <c r="AQ96" s="188" t="s">
        <v>330</v>
      </c>
      <c r="AR96" s="188" t="s">
        <v>331</v>
      </c>
      <c r="AS96" s="306" t="s">
        <v>490</v>
      </c>
      <c r="AT96" s="188" t="s">
        <v>332</v>
      </c>
      <c r="AU96" s="317" t="s">
        <v>477</v>
      </c>
      <c r="AV96" s="188" t="s">
        <v>333</v>
      </c>
      <c r="AW96" s="306" t="s">
        <v>463</v>
      </c>
      <c r="AX96" s="188" t="s">
        <v>448</v>
      </c>
      <c r="AY96" s="188" t="s">
        <v>451</v>
      </c>
      <c r="AZ96" s="188" t="s">
        <v>453</v>
      </c>
      <c r="BA96" s="306"/>
      <c r="BB96" s="317" t="s">
        <v>480</v>
      </c>
      <c r="BC96" s="188" t="s">
        <v>454</v>
      </c>
      <c r="BD96" s="188" t="s">
        <v>457</v>
      </c>
      <c r="BE96" s="387"/>
      <c r="BF96" s="226"/>
      <c r="BG96" s="226"/>
      <c r="BH96" s="226"/>
      <c r="BI96" s="226"/>
      <c r="BJ96" s="226"/>
      <c r="BK96" s="226"/>
      <c r="BL96" s="226"/>
      <c r="BM96" s="226"/>
      <c r="BN96" s="226"/>
      <c r="BO96" s="226"/>
      <c r="BP96" s="226"/>
      <c r="BQ96" s="226"/>
      <c r="BR96" s="226"/>
      <c r="BS96" s="226"/>
      <c r="BT96" s="226"/>
      <c r="BU96" s="226"/>
      <c r="BV96" s="226"/>
      <c r="BW96" s="226"/>
    </row>
    <row r="97" spans="1:75" ht="12.75" customHeight="1">
      <c r="A97" s="121"/>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3"/>
      <c r="AJ97" s="123"/>
      <c r="AK97" s="123"/>
      <c r="AL97" s="123"/>
      <c r="AM97" s="123"/>
      <c r="AN97" s="123"/>
      <c r="AO97" s="123"/>
      <c r="AP97" s="123"/>
      <c r="AQ97" s="123"/>
      <c r="AR97" s="123"/>
      <c r="AS97" s="301"/>
      <c r="AT97" s="123"/>
      <c r="AU97" s="301"/>
      <c r="AV97" s="123"/>
      <c r="AW97" s="301"/>
      <c r="AX97" s="123"/>
      <c r="AY97" s="123"/>
      <c r="AZ97" s="123"/>
      <c r="BA97" s="301"/>
      <c r="BB97" s="301"/>
      <c r="BC97" s="123"/>
      <c r="BD97" s="123"/>
      <c r="BE97" s="387"/>
      <c r="BF97" s="226"/>
      <c r="BG97" s="226"/>
      <c r="BH97" s="226"/>
      <c r="BI97" s="226"/>
      <c r="BJ97" s="226"/>
      <c r="BK97" s="226"/>
      <c r="BL97" s="226"/>
      <c r="BM97" s="226"/>
      <c r="BN97" s="226"/>
      <c r="BO97" s="226"/>
      <c r="BP97" s="226"/>
      <c r="BQ97" s="226"/>
      <c r="BR97" s="226"/>
      <c r="BS97" s="226"/>
      <c r="BT97" s="226"/>
      <c r="BU97" s="226"/>
      <c r="BV97" s="226"/>
      <c r="BW97" s="226"/>
    </row>
    <row r="98" spans="1:75" ht="12.75" customHeight="1">
      <c r="A98" s="183" t="s">
        <v>192</v>
      </c>
      <c r="B98" s="106"/>
      <c r="C98" s="106"/>
      <c r="D98" s="106"/>
      <c r="E98" s="106"/>
      <c r="F98" s="93">
        <v>578.0558464223386</v>
      </c>
      <c r="G98" s="106"/>
      <c r="H98" s="106"/>
      <c r="I98" s="106"/>
      <c r="J98" s="106"/>
      <c r="K98" s="93">
        <v>496.1937984496124</v>
      </c>
      <c r="L98" s="106"/>
      <c r="M98" s="106"/>
      <c r="N98" s="106"/>
      <c r="O98" s="106"/>
      <c r="P98" s="93">
        <v>674.9420677361853</v>
      </c>
      <c r="Q98" s="106"/>
      <c r="R98" s="106"/>
      <c r="S98" s="106"/>
      <c r="T98" s="106"/>
      <c r="U98" s="93">
        <v>1029.2250740375123</v>
      </c>
      <c r="V98" s="88">
        <v>306.49732620320856</v>
      </c>
      <c r="W98" s="88">
        <v>324.32677760968227</v>
      </c>
      <c r="X98" s="88">
        <v>394.955268389662</v>
      </c>
      <c r="Y98" s="88">
        <v>417.3890462700661</v>
      </c>
      <c r="Z98" s="204">
        <v>1449.6594892338508</v>
      </c>
      <c r="AA98" s="88">
        <v>470.1512287334594</v>
      </c>
      <c r="AB98" s="88">
        <v>445.29716981132077</v>
      </c>
      <c r="AC98" s="88">
        <v>475</v>
      </c>
      <c r="AD98" s="88">
        <f>AE98-AC98-AB98-AA98</f>
        <v>460.5516014552198</v>
      </c>
      <c r="AE98" s="204">
        <v>1851</v>
      </c>
      <c r="AF98" s="88">
        <v>390</v>
      </c>
      <c r="AG98" s="88">
        <v>415</v>
      </c>
      <c r="AH98" s="88">
        <v>466</v>
      </c>
      <c r="AI98" s="88">
        <v>559</v>
      </c>
      <c r="AJ98" s="204">
        <v>1822</v>
      </c>
      <c r="AK98" s="88">
        <v>541</v>
      </c>
      <c r="AL98" s="88">
        <v>666</v>
      </c>
      <c r="AM98" s="88">
        <v>754</v>
      </c>
      <c r="AN98" s="88">
        <v>556</v>
      </c>
      <c r="AO98" s="204">
        <v>2496</v>
      </c>
      <c r="AP98" s="88">
        <v>459</v>
      </c>
      <c r="AQ98" s="88">
        <v>382</v>
      </c>
      <c r="AR98" s="88">
        <v>368</v>
      </c>
      <c r="AS98" s="100">
        <v>1216</v>
      </c>
      <c r="AT98" s="88">
        <v>427</v>
      </c>
      <c r="AU98" s="100">
        <v>427</v>
      </c>
      <c r="AV98" s="204">
        <v>1643</v>
      </c>
      <c r="AW98" s="309">
        <v>1643</v>
      </c>
      <c r="AX98" s="88">
        <v>425</v>
      </c>
      <c r="AY98" s="88">
        <v>447</v>
      </c>
      <c r="AZ98" s="88">
        <v>431</v>
      </c>
      <c r="BA98" s="100"/>
      <c r="BB98" s="100">
        <v>1303</v>
      </c>
      <c r="BC98" s="88">
        <v>493</v>
      </c>
      <c r="BD98" s="204">
        <v>1794</v>
      </c>
      <c r="BE98" s="378"/>
      <c r="BF98" s="106"/>
      <c r="BG98" s="106"/>
      <c r="BH98" s="106"/>
      <c r="BI98" s="106"/>
      <c r="BJ98" s="106"/>
      <c r="BK98" s="106"/>
      <c r="BL98" s="106"/>
      <c r="BM98" s="106"/>
      <c r="BN98" s="106"/>
      <c r="BO98" s="106"/>
      <c r="BP98" s="106"/>
      <c r="BQ98" s="106"/>
      <c r="BR98" s="106"/>
      <c r="BS98" s="106"/>
      <c r="BT98" s="106"/>
      <c r="BU98" s="106"/>
      <c r="BV98" s="106"/>
      <c r="BW98" s="106"/>
    </row>
    <row r="99" spans="1:75" ht="12.75" customHeight="1">
      <c r="A99" s="183" t="s">
        <v>193</v>
      </c>
      <c r="B99" s="106"/>
      <c r="C99" s="106"/>
      <c r="D99" s="106"/>
      <c r="E99" s="106"/>
      <c r="F99" s="93">
        <v>3074.30017452007</v>
      </c>
      <c r="G99" s="106"/>
      <c r="H99" s="106"/>
      <c r="I99" s="106"/>
      <c r="J99" s="106"/>
      <c r="K99" s="93">
        <v>2822.3488372093025</v>
      </c>
      <c r="L99" s="106"/>
      <c r="M99" s="106"/>
      <c r="N99" s="106"/>
      <c r="O99" s="106"/>
      <c r="P99" s="93">
        <v>4493.680926916221</v>
      </c>
      <c r="Q99" s="106"/>
      <c r="R99" s="106"/>
      <c r="S99" s="106"/>
      <c r="T99" s="106"/>
      <c r="U99" s="93">
        <v>6650.829220138204</v>
      </c>
      <c r="V99" s="88">
        <v>1703.9251336898396</v>
      </c>
      <c r="W99" s="88">
        <v>2188.1744831064043</v>
      </c>
      <c r="X99" s="88">
        <v>2498.543737574553</v>
      </c>
      <c r="Y99" s="88">
        <v>2417.9320113314448</v>
      </c>
      <c r="Z99" s="204">
        <v>8850.145217826741</v>
      </c>
      <c r="AA99" s="88">
        <v>2249.2060491493385</v>
      </c>
      <c r="AB99" s="88">
        <v>3022.4716981132074</v>
      </c>
      <c r="AC99" s="88">
        <v>3153</v>
      </c>
      <c r="AD99" s="88">
        <f aca="true" t="shared" si="4" ref="AD99:AD110">AE99-AC99-AB99-AA99</f>
        <v>2650.3222527374537</v>
      </c>
      <c r="AE99" s="204">
        <v>11075</v>
      </c>
      <c r="AF99" s="88">
        <v>2276</v>
      </c>
      <c r="AG99" s="88">
        <v>2929</v>
      </c>
      <c r="AH99" s="88">
        <v>3316</v>
      </c>
      <c r="AI99" s="88">
        <v>4036</v>
      </c>
      <c r="AJ99" s="204">
        <v>12461</v>
      </c>
      <c r="AK99" s="88">
        <v>4129</v>
      </c>
      <c r="AL99" s="88">
        <v>5340</v>
      </c>
      <c r="AM99" s="88">
        <v>5598</v>
      </c>
      <c r="AN99" s="88">
        <v>3529</v>
      </c>
      <c r="AO99" s="204">
        <v>18309</v>
      </c>
      <c r="AP99" s="88">
        <v>2230</v>
      </c>
      <c r="AQ99" s="88">
        <v>2884</v>
      </c>
      <c r="AR99" s="88">
        <v>3575</v>
      </c>
      <c r="AS99" s="100">
        <v>8502</v>
      </c>
      <c r="AT99" s="88">
        <v>3706</v>
      </c>
      <c r="AU99" s="100">
        <v>3673</v>
      </c>
      <c r="AV99" s="204">
        <v>12204</v>
      </c>
      <c r="AW99" s="309">
        <v>12175</v>
      </c>
      <c r="AX99" s="88">
        <v>3239</v>
      </c>
      <c r="AY99" s="88">
        <v>3561</v>
      </c>
      <c r="AZ99" s="88">
        <v>4017</v>
      </c>
      <c r="BA99" s="100"/>
      <c r="BB99" s="100">
        <v>10853</v>
      </c>
      <c r="BC99" s="88">
        <v>4110</v>
      </c>
      <c r="BD99" s="204">
        <v>14953</v>
      </c>
      <c r="BE99" s="378"/>
      <c r="BF99" s="106"/>
      <c r="BG99" s="106"/>
      <c r="BH99" s="106"/>
      <c r="BI99" s="106"/>
      <c r="BJ99" s="106"/>
      <c r="BK99" s="106"/>
      <c r="BL99" s="106"/>
      <c r="BM99" s="106"/>
      <c r="BN99" s="106"/>
      <c r="BO99" s="106"/>
      <c r="BP99" s="106"/>
      <c r="BQ99" s="106"/>
      <c r="BR99" s="106"/>
      <c r="BS99" s="106"/>
      <c r="BT99" s="106"/>
      <c r="BU99" s="106"/>
      <c r="BV99" s="106"/>
      <c r="BW99" s="106"/>
    </row>
    <row r="100" spans="1:75" ht="12.75" customHeight="1">
      <c r="A100" s="183" t="s">
        <v>194</v>
      </c>
      <c r="B100" s="106"/>
      <c r="C100" s="106"/>
      <c r="D100" s="106"/>
      <c r="E100" s="106"/>
      <c r="F100" s="93">
        <v>1235.2460732984293</v>
      </c>
      <c r="G100" s="106"/>
      <c r="H100" s="106"/>
      <c r="I100" s="106"/>
      <c r="J100" s="106"/>
      <c r="K100" s="93">
        <v>1463.7054263565892</v>
      </c>
      <c r="L100" s="106"/>
      <c r="M100" s="106"/>
      <c r="N100" s="106"/>
      <c r="O100" s="106"/>
      <c r="P100" s="93">
        <v>1956.7914438502673</v>
      </c>
      <c r="Q100" s="106"/>
      <c r="R100" s="106"/>
      <c r="S100" s="106"/>
      <c r="T100" s="106"/>
      <c r="U100" s="93">
        <v>2671.6633761105627</v>
      </c>
      <c r="V100" s="88">
        <v>1299.4064171122996</v>
      </c>
      <c r="W100" s="88">
        <v>512.5567322239032</v>
      </c>
      <c r="X100" s="88">
        <v>415.3081510934394</v>
      </c>
      <c r="Y100" s="88">
        <v>1102.795089707271</v>
      </c>
      <c r="Z100" s="204">
        <v>3313.775663495243</v>
      </c>
      <c r="AA100" s="88">
        <v>1500.0094517958412</v>
      </c>
      <c r="AB100" s="88">
        <v>76.34433962264151</v>
      </c>
      <c r="AC100" s="88">
        <v>76</v>
      </c>
      <c r="AD100" s="88">
        <f t="shared" si="4"/>
        <v>96.64620858151739</v>
      </c>
      <c r="AE100" s="204">
        <v>1749</v>
      </c>
      <c r="AF100" s="88">
        <v>106</v>
      </c>
      <c r="AG100" s="88">
        <v>90</v>
      </c>
      <c r="AH100" s="88">
        <v>96</v>
      </c>
      <c r="AI100" s="88">
        <v>207</v>
      </c>
      <c r="AJ100" s="204">
        <v>493</v>
      </c>
      <c r="AK100" s="88">
        <v>224</v>
      </c>
      <c r="AL100" s="88">
        <v>238</v>
      </c>
      <c r="AM100" s="88">
        <v>323</v>
      </c>
      <c r="AN100" s="88">
        <v>362</v>
      </c>
      <c r="AO100" s="204">
        <v>1160</v>
      </c>
      <c r="AP100" s="88">
        <v>416</v>
      </c>
      <c r="AQ100" s="88">
        <v>189</v>
      </c>
      <c r="AR100" s="88">
        <v>1122</v>
      </c>
      <c r="AS100" s="100">
        <v>1629</v>
      </c>
      <c r="AT100" s="88">
        <v>908</v>
      </c>
      <c r="AU100" s="100">
        <v>911</v>
      </c>
      <c r="AV100" s="204">
        <v>2537</v>
      </c>
      <c r="AW100" s="309">
        <v>2540</v>
      </c>
      <c r="AX100" s="88">
        <v>738</v>
      </c>
      <c r="AY100" s="88">
        <v>696</v>
      </c>
      <c r="AZ100" s="88">
        <v>615</v>
      </c>
      <c r="BA100" s="100"/>
      <c r="BB100" s="100">
        <v>2041</v>
      </c>
      <c r="BC100" s="88">
        <v>435</v>
      </c>
      <c r="BD100" s="204">
        <v>2483</v>
      </c>
      <c r="BE100" s="378"/>
      <c r="BF100" s="106"/>
      <c r="BG100" s="106"/>
      <c r="BH100" s="106"/>
      <c r="BI100" s="106"/>
      <c r="BJ100" s="106"/>
      <c r="BK100" s="106"/>
      <c r="BL100" s="106"/>
      <c r="BM100" s="106"/>
      <c r="BN100" s="106"/>
      <c r="BO100" s="106"/>
      <c r="BP100" s="106"/>
      <c r="BQ100" s="106"/>
      <c r="BR100" s="106"/>
      <c r="BS100" s="106"/>
      <c r="BT100" s="106"/>
      <c r="BU100" s="106"/>
      <c r="BV100" s="106"/>
      <c r="BW100" s="106"/>
    </row>
    <row r="101" spans="1:75" ht="12.75" customHeight="1">
      <c r="A101" s="183" t="s">
        <v>62</v>
      </c>
      <c r="B101" s="106"/>
      <c r="C101" s="106"/>
      <c r="D101" s="106"/>
      <c r="E101" s="106"/>
      <c r="F101" s="93">
        <v>690.8760907504363</v>
      </c>
      <c r="G101" s="106"/>
      <c r="H101" s="106"/>
      <c r="I101" s="106"/>
      <c r="J101" s="106"/>
      <c r="K101" s="93">
        <v>524.5038759689922</v>
      </c>
      <c r="L101" s="106"/>
      <c r="M101" s="106"/>
      <c r="N101" s="106"/>
      <c r="O101" s="106"/>
      <c r="P101" s="93">
        <v>878.1996434937611</v>
      </c>
      <c r="Q101" s="106"/>
      <c r="R101" s="106"/>
      <c r="S101" s="106"/>
      <c r="T101" s="106"/>
      <c r="U101" s="93">
        <v>1215.7403751233958</v>
      </c>
      <c r="V101" s="88">
        <v>415.16577540106954</v>
      </c>
      <c r="W101" s="88">
        <v>434.3116490166414</v>
      </c>
      <c r="X101" s="88">
        <v>420.5367793240557</v>
      </c>
      <c r="Y101" s="88">
        <v>506.728045325779</v>
      </c>
      <c r="Z101" s="204">
        <v>1781.156735102654</v>
      </c>
      <c r="AA101" s="88">
        <v>515.515122873346</v>
      </c>
      <c r="AB101" s="88">
        <v>524.566037735849</v>
      </c>
      <c r="AC101" s="88">
        <v>524</v>
      </c>
      <c r="AD101" s="88">
        <f t="shared" si="4"/>
        <v>579.918839390805</v>
      </c>
      <c r="AE101" s="204">
        <v>2144</v>
      </c>
      <c r="AF101" s="88">
        <v>580</v>
      </c>
      <c r="AG101" s="88">
        <v>679</v>
      </c>
      <c r="AH101" s="88">
        <v>682</v>
      </c>
      <c r="AI101" s="88">
        <v>778</v>
      </c>
      <c r="AJ101" s="204">
        <v>2707</v>
      </c>
      <c r="AK101" s="88">
        <v>799</v>
      </c>
      <c r="AL101" s="88">
        <v>737</v>
      </c>
      <c r="AM101" s="88">
        <v>737</v>
      </c>
      <c r="AN101" s="88">
        <v>498</v>
      </c>
      <c r="AO101" s="204">
        <v>2738</v>
      </c>
      <c r="AP101" s="88">
        <v>370</v>
      </c>
      <c r="AQ101" s="88">
        <v>386</v>
      </c>
      <c r="AR101" s="88">
        <v>573</v>
      </c>
      <c r="AS101" s="100">
        <v>1295</v>
      </c>
      <c r="AT101" s="88">
        <v>624</v>
      </c>
      <c r="AU101" s="100">
        <v>624</v>
      </c>
      <c r="AV101" s="204">
        <v>1919</v>
      </c>
      <c r="AW101" s="309">
        <v>1919</v>
      </c>
      <c r="AX101" s="88">
        <v>617</v>
      </c>
      <c r="AY101" s="88">
        <v>566</v>
      </c>
      <c r="AZ101" s="88">
        <v>670</v>
      </c>
      <c r="BA101" s="100"/>
      <c r="BB101" s="100">
        <v>1852</v>
      </c>
      <c r="BC101" s="88">
        <v>668</v>
      </c>
      <c r="BD101" s="204">
        <v>2519</v>
      </c>
      <c r="BE101" s="378"/>
      <c r="BF101" s="106"/>
      <c r="BG101" s="106"/>
      <c r="BH101" s="106"/>
      <c r="BI101" s="106"/>
      <c r="BJ101" s="106"/>
      <c r="BK101" s="106"/>
      <c r="BL101" s="106"/>
      <c r="BM101" s="106"/>
      <c r="BN101" s="106"/>
      <c r="BO101" s="106"/>
      <c r="BP101" s="106"/>
      <c r="BQ101" s="106"/>
      <c r="BR101" s="106"/>
      <c r="BS101" s="106"/>
      <c r="BT101" s="106"/>
      <c r="BU101" s="106"/>
      <c r="BV101" s="106"/>
      <c r="BW101" s="106"/>
    </row>
    <row r="102" spans="1:75" ht="12.75" customHeight="1">
      <c r="A102" s="183" t="s">
        <v>195</v>
      </c>
      <c r="B102" s="106"/>
      <c r="C102" s="106"/>
      <c r="D102" s="106"/>
      <c r="E102" s="106"/>
      <c r="F102" s="93">
        <v>151.70331588132635</v>
      </c>
      <c r="G102" s="106"/>
      <c r="H102" s="106"/>
      <c r="I102" s="106"/>
      <c r="J102" s="106"/>
      <c r="K102" s="93">
        <v>136.54263565891472</v>
      </c>
      <c r="L102" s="106"/>
      <c r="M102" s="106"/>
      <c r="N102" s="106"/>
      <c r="O102" s="106"/>
      <c r="P102" s="93">
        <v>111.67557932263814</v>
      </c>
      <c r="Q102" s="106"/>
      <c r="R102" s="106"/>
      <c r="S102" s="106"/>
      <c r="T102" s="106"/>
      <c r="U102" s="93">
        <v>459.06219151036527</v>
      </c>
      <c r="V102" s="88">
        <v>82.0909090909091</v>
      </c>
      <c r="W102" s="88">
        <v>100.98335854765506</v>
      </c>
      <c r="X102" s="88">
        <v>108.6182902584493</v>
      </c>
      <c r="Y102" s="88">
        <v>188.98961284230404</v>
      </c>
      <c r="Z102" s="204">
        <v>487.0205307961943</v>
      </c>
      <c r="AA102" s="88">
        <v>80.99243856332703</v>
      </c>
      <c r="AB102" s="88">
        <v>105.91509433962264</v>
      </c>
      <c r="AC102" s="88">
        <v>106</v>
      </c>
      <c r="AD102" s="88">
        <f t="shared" si="4"/>
        <v>196.0924670970503</v>
      </c>
      <c r="AE102" s="204">
        <v>489</v>
      </c>
      <c r="AF102" s="88">
        <v>80</v>
      </c>
      <c r="AG102" s="88">
        <v>118</v>
      </c>
      <c r="AH102" s="88">
        <v>125</v>
      </c>
      <c r="AI102" s="88">
        <v>241</v>
      </c>
      <c r="AJ102" s="204">
        <v>556</v>
      </c>
      <c r="AK102" s="88">
        <v>118</v>
      </c>
      <c r="AL102" s="88">
        <v>228</v>
      </c>
      <c r="AM102" s="88">
        <v>254</v>
      </c>
      <c r="AN102" s="88">
        <v>260</v>
      </c>
      <c r="AO102" s="204">
        <v>865</v>
      </c>
      <c r="AP102" s="88">
        <v>152</v>
      </c>
      <c r="AQ102" s="88">
        <v>186</v>
      </c>
      <c r="AR102" s="88">
        <v>139</v>
      </c>
      <c r="AS102" s="100">
        <v>468</v>
      </c>
      <c r="AT102" s="88">
        <v>253</v>
      </c>
      <c r="AU102" s="100">
        <v>249</v>
      </c>
      <c r="AV102" s="204">
        <v>723</v>
      </c>
      <c r="AW102" s="309">
        <v>717</v>
      </c>
      <c r="AX102" s="88">
        <v>112</v>
      </c>
      <c r="AY102" s="88">
        <v>178</v>
      </c>
      <c r="AZ102" s="88">
        <v>163</v>
      </c>
      <c r="BA102" s="100"/>
      <c r="BB102" s="100">
        <v>456</v>
      </c>
      <c r="BC102" s="88">
        <v>185</v>
      </c>
      <c r="BD102" s="204">
        <v>641</v>
      </c>
      <c r="BE102" s="378"/>
      <c r="BF102" s="106"/>
      <c r="BG102" s="106"/>
      <c r="BH102" s="106"/>
      <c r="BI102" s="106"/>
      <c r="BJ102" s="106"/>
      <c r="BK102" s="106"/>
      <c r="BL102" s="106"/>
      <c r="BM102" s="106"/>
      <c r="BN102" s="106"/>
      <c r="BO102" s="106"/>
      <c r="BP102" s="106"/>
      <c r="BQ102" s="106"/>
      <c r="BR102" s="106"/>
      <c r="BS102" s="106"/>
      <c r="BT102" s="106"/>
      <c r="BU102" s="106"/>
      <c r="BV102" s="106"/>
      <c r="BW102" s="106"/>
    </row>
    <row r="103" spans="1:75" s="116" customFormat="1" ht="12.75" customHeight="1">
      <c r="A103" s="184" t="s">
        <v>196</v>
      </c>
      <c r="B103" s="108"/>
      <c r="C103" s="108"/>
      <c r="D103" s="108"/>
      <c r="E103" s="108"/>
      <c r="F103" s="97">
        <v>5730.181500872601</v>
      </c>
      <c r="G103" s="108"/>
      <c r="H103" s="108"/>
      <c r="I103" s="108"/>
      <c r="J103" s="108"/>
      <c r="K103" s="97">
        <v>5443.294573643411</v>
      </c>
      <c r="L103" s="108"/>
      <c r="M103" s="108"/>
      <c r="N103" s="108"/>
      <c r="O103" s="108"/>
      <c r="P103" s="97">
        <v>8115.289661319073</v>
      </c>
      <c r="Q103" s="108"/>
      <c r="R103" s="108"/>
      <c r="S103" s="108"/>
      <c r="T103" s="108"/>
      <c r="U103" s="97">
        <v>12026.52023692004</v>
      </c>
      <c r="V103" s="96">
        <v>3807.085561497326</v>
      </c>
      <c r="W103" s="96">
        <v>3560.353000504286</v>
      </c>
      <c r="X103" s="96">
        <v>3837.9622266401593</v>
      </c>
      <c r="Y103" s="96">
        <v>4633.833805476865</v>
      </c>
      <c r="Z103" s="205">
        <v>15881.757636454684</v>
      </c>
      <c r="AA103" s="96">
        <v>4815.874291115311</v>
      </c>
      <c r="AB103" s="96">
        <v>4174</v>
      </c>
      <c r="AC103" s="96">
        <v>4334</v>
      </c>
      <c r="AD103" s="96">
        <f t="shared" si="4"/>
        <v>3984.1257088846887</v>
      </c>
      <c r="AE103" s="205">
        <v>17308</v>
      </c>
      <c r="AF103" s="96">
        <v>3432</v>
      </c>
      <c r="AG103" s="96">
        <v>4231</v>
      </c>
      <c r="AH103" s="96">
        <v>4685</v>
      </c>
      <c r="AI103" s="96">
        <v>5821</v>
      </c>
      <c r="AJ103" s="205">
        <v>18039</v>
      </c>
      <c r="AK103" s="96">
        <v>5811</v>
      </c>
      <c r="AL103" s="96">
        <v>7209</v>
      </c>
      <c r="AM103" s="96">
        <v>7666</v>
      </c>
      <c r="AN103" s="96">
        <v>5205</v>
      </c>
      <c r="AO103" s="205">
        <v>25568</v>
      </c>
      <c r="AP103" s="96">
        <v>3627</v>
      </c>
      <c r="AQ103" s="96">
        <v>4027</v>
      </c>
      <c r="AR103" s="96">
        <v>5777</v>
      </c>
      <c r="AS103" s="100">
        <v>13110</v>
      </c>
      <c r="AT103" s="88">
        <v>5918</v>
      </c>
      <c r="AU103" s="100">
        <v>5884</v>
      </c>
      <c r="AV103" s="205">
        <v>19026</v>
      </c>
      <c r="AW103" s="310">
        <v>18994</v>
      </c>
      <c r="AX103" s="96">
        <v>5131</v>
      </c>
      <c r="AY103" s="96">
        <v>5448</v>
      </c>
      <c r="AZ103" s="96">
        <v>5896</v>
      </c>
      <c r="BA103" s="294"/>
      <c r="BB103" s="294">
        <v>16505</v>
      </c>
      <c r="BC103" s="96">
        <v>5891</v>
      </c>
      <c r="BD103" s="205">
        <v>22390</v>
      </c>
      <c r="BE103" s="386"/>
      <c r="BF103" s="108"/>
      <c r="BG103" s="108"/>
      <c r="BH103" s="108"/>
      <c r="BI103" s="108"/>
      <c r="BJ103" s="108"/>
      <c r="BK103" s="108"/>
      <c r="BL103" s="108"/>
      <c r="BM103" s="108"/>
      <c r="BN103" s="108"/>
      <c r="BO103" s="108"/>
      <c r="BP103" s="108"/>
      <c r="BQ103" s="108"/>
      <c r="BR103" s="108"/>
      <c r="BS103" s="108"/>
      <c r="BT103" s="108"/>
      <c r="BU103" s="108"/>
      <c r="BV103" s="108"/>
      <c r="BW103" s="108"/>
    </row>
    <row r="104" spans="1:75" s="116" customFormat="1" ht="12.75" customHeight="1">
      <c r="A104" s="184" t="s">
        <v>197</v>
      </c>
      <c r="B104" s="108"/>
      <c r="C104" s="108"/>
      <c r="D104" s="108"/>
      <c r="E104" s="108"/>
      <c r="F104" s="93">
        <v>-1629.766143106457</v>
      </c>
      <c r="G104" s="106"/>
      <c r="H104" s="106"/>
      <c r="I104" s="106"/>
      <c r="J104" s="106"/>
      <c r="K104" s="93">
        <v>-948.5</v>
      </c>
      <c r="L104" s="106"/>
      <c r="M104" s="106"/>
      <c r="N104" s="106"/>
      <c r="O104" s="106"/>
      <c r="P104" s="93">
        <v>-1412.80303030303</v>
      </c>
      <c r="Q104" s="106"/>
      <c r="R104" s="106"/>
      <c r="S104" s="106"/>
      <c r="T104" s="106"/>
      <c r="U104" s="93">
        <v>-2372.86771964462</v>
      </c>
      <c r="V104" s="88">
        <v>-752.3850267379679</v>
      </c>
      <c r="W104" s="88">
        <v>-811.7196167423097</v>
      </c>
      <c r="X104" s="88">
        <v>-926.6351888667992</v>
      </c>
      <c r="Y104" s="88">
        <v>-1078.0169971671387</v>
      </c>
      <c r="Z104" s="204">
        <v>-3587.4962443665495</v>
      </c>
      <c r="AA104" s="88">
        <v>-1042</v>
      </c>
      <c r="AB104" s="88">
        <v>-863</v>
      </c>
      <c r="AC104" s="88">
        <v>-807</v>
      </c>
      <c r="AD104" s="88">
        <f t="shared" si="4"/>
        <v>-862</v>
      </c>
      <c r="AE104" s="204">
        <v>-3574</v>
      </c>
      <c r="AF104" s="88">
        <v>-755</v>
      </c>
      <c r="AG104" s="88">
        <v>-940</v>
      </c>
      <c r="AH104" s="88">
        <v>-947</v>
      </c>
      <c r="AI104" s="88">
        <v>-1314</v>
      </c>
      <c r="AJ104" s="204">
        <v>-3927</v>
      </c>
      <c r="AK104" s="88">
        <v>-1274</v>
      </c>
      <c r="AL104" s="88">
        <v>-1405</v>
      </c>
      <c r="AM104" s="88">
        <v>-1454</v>
      </c>
      <c r="AN104" s="88">
        <v>-931</v>
      </c>
      <c r="AO104" s="204">
        <v>-4992</v>
      </c>
      <c r="AP104" s="88">
        <v>-833</v>
      </c>
      <c r="AQ104" s="88">
        <v>-704</v>
      </c>
      <c r="AR104" s="88">
        <v>-1779</v>
      </c>
      <c r="AS104" s="100">
        <v>-3182</v>
      </c>
      <c r="AT104" s="88">
        <v>-1578</v>
      </c>
      <c r="AU104" s="100">
        <v>-1577</v>
      </c>
      <c r="AV104" s="204">
        <v>-4761</v>
      </c>
      <c r="AW104" s="309">
        <v>-4759</v>
      </c>
      <c r="AX104" s="88">
        <v>-1517</v>
      </c>
      <c r="AY104" s="88">
        <v>-1420</v>
      </c>
      <c r="AZ104" s="88">
        <v>-1503</v>
      </c>
      <c r="BA104" s="100"/>
      <c r="BB104" s="100">
        <v>-4433</v>
      </c>
      <c r="BC104" s="88">
        <v>-1296</v>
      </c>
      <c r="BD104" s="204">
        <v>-5734</v>
      </c>
      <c r="BE104" s="378"/>
      <c r="BF104" s="106"/>
      <c r="BG104" s="106"/>
      <c r="BH104" s="106"/>
      <c r="BI104" s="106"/>
      <c r="BJ104" s="106"/>
      <c r="BK104" s="106"/>
      <c r="BL104" s="106"/>
      <c r="BM104" s="106"/>
      <c r="BN104" s="106"/>
      <c r="BO104" s="106"/>
      <c r="BP104" s="106"/>
      <c r="BQ104" s="106"/>
      <c r="BR104" s="106"/>
      <c r="BS104" s="106"/>
      <c r="BT104" s="106"/>
      <c r="BU104" s="106"/>
      <c r="BV104" s="106"/>
      <c r="BW104" s="106"/>
    </row>
    <row r="105" spans="1:75" ht="12.75" customHeight="1">
      <c r="A105" s="182" t="s">
        <v>198</v>
      </c>
      <c r="B105" s="106"/>
      <c r="C105" s="106"/>
      <c r="D105" s="106"/>
      <c r="E105" s="106"/>
      <c r="F105" s="93">
        <v>-556.5235602094241</v>
      </c>
      <c r="G105" s="106"/>
      <c r="H105" s="106"/>
      <c r="I105" s="106"/>
      <c r="J105" s="106"/>
      <c r="K105" s="93">
        <v>-478.8062015503876</v>
      </c>
      <c r="L105" s="106"/>
      <c r="M105" s="106"/>
      <c r="N105" s="106"/>
      <c r="O105" s="106"/>
      <c r="P105" s="93">
        <v>-629.0998217468806</v>
      </c>
      <c r="Q105" s="106"/>
      <c r="R105" s="106"/>
      <c r="S105" s="106"/>
      <c r="T105" s="106"/>
      <c r="U105" s="93">
        <v>-830.1727541954591</v>
      </c>
      <c r="V105" s="88">
        <v>-286.5668449197861</v>
      </c>
      <c r="W105" s="88">
        <v>-281.78517397881996</v>
      </c>
      <c r="X105" s="88">
        <v>-351.148111332008</v>
      </c>
      <c r="Y105" s="88">
        <v>-371.71860245514637</v>
      </c>
      <c r="Z105" s="204">
        <v>-1296.179268903355</v>
      </c>
      <c r="AA105" s="88">
        <v>-430.70888468809073</v>
      </c>
      <c r="AB105" s="88">
        <v>-216.86320754716982</v>
      </c>
      <c r="AC105" s="88">
        <v>-232</v>
      </c>
      <c r="AD105" s="88">
        <f t="shared" si="4"/>
        <v>-200.42790776473942</v>
      </c>
      <c r="AE105" s="204">
        <v>-1080</v>
      </c>
      <c r="AF105" s="88">
        <v>-178</v>
      </c>
      <c r="AG105" s="88">
        <v>-201</v>
      </c>
      <c r="AH105" s="88">
        <v>-218</v>
      </c>
      <c r="AI105" s="88">
        <v>-257</v>
      </c>
      <c r="AJ105" s="204">
        <v>-849</v>
      </c>
      <c r="AK105" s="88">
        <v>-280</v>
      </c>
      <c r="AL105" s="88">
        <v>-353</v>
      </c>
      <c r="AM105" s="88">
        <v>-296</v>
      </c>
      <c r="AN105" s="88">
        <v>-203</v>
      </c>
      <c r="AO105" s="204">
        <v>-1115</v>
      </c>
      <c r="AP105" s="88">
        <v>-205</v>
      </c>
      <c r="AQ105" s="88">
        <v>-113</v>
      </c>
      <c r="AR105" s="88">
        <v>-190</v>
      </c>
      <c r="AS105" s="100">
        <v>-504</v>
      </c>
      <c r="AT105" s="88">
        <v>-221</v>
      </c>
      <c r="AU105" s="100">
        <v>-221</v>
      </c>
      <c r="AV105" s="204">
        <v>-725</v>
      </c>
      <c r="AW105" s="309">
        <v>-725</v>
      </c>
      <c r="AX105" s="88">
        <v>-210</v>
      </c>
      <c r="AY105" s="88">
        <v>-213</v>
      </c>
      <c r="AZ105" s="88">
        <v>-190</v>
      </c>
      <c r="BA105" s="100"/>
      <c r="BB105" s="100">
        <v>-612</v>
      </c>
      <c r="BC105" s="88">
        <v>-209</v>
      </c>
      <c r="BD105" s="204">
        <v>-821</v>
      </c>
      <c r="BE105" s="378"/>
      <c r="BF105" s="106"/>
      <c r="BG105" s="106"/>
      <c r="BH105" s="106"/>
      <c r="BI105" s="106"/>
      <c r="BJ105" s="106"/>
      <c r="BK105" s="106"/>
      <c r="BL105" s="106"/>
      <c r="BM105" s="106"/>
      <c r="BN105" s="106"/>
      <c r="BO105" s="106"/>
      <c r="BP105" s="106"/>
      <c r="BQ105" s="106"/>
      <c r="BR105" s="106"/>
      <c r="BS105" s="106"/>
      <c r="BT105" s="106"/>
      <c r="BU105" s="106"/>
      <c r="BV105" s="106"/>
      <c r="BW105" s="106"/>
    </row>
    <row r="106" spans="1:75" ht="12.75" customHeight="1">
      <c r="A106" s="182" t="s">
        <v>199</v>
      </c>
      <c r="B106" s="106"/>
      <c r="C106" s="106"/>
      <c r="D106" s="106"/>
      <c r="E106" s="106"/>
      <c r="F106" s="93">
        <v>-731.1553228621292</v>
      </c>
      <c r="G106" s="106"/>
      <c r="H106" s="106"/>
      <c r="I106" s="106"/>
      <c r="J106" s="106"/>
      <c r="K106" s="93">
        <v>-291.7829457364341</v>
      </c>
      <c r="L106" s="106"/>
      <c r="M106" s="106"/>
      <c r="N106" s="106"/>
      <c r="O106" s="106"/>
      <c r="P106" s="93">
        <v>-524.7014260249554</v>
      </c>
      <c r="Q106" s="106"/>
      <c r="R106" s="106"/>
      <c r="S106" s="106"/>
      <c r="T106" s="106"/>
      <c r="U106" s="93">
        <v>-811.2142152023692</v>
      </c>
      <c r="V106" s="88">
        <v>-276.8288770053476</v>
      </c>
      <c r="W106" s="88">
        <v>-307.89712556732223</v>
      </c>
      <c r="X106" s="88">
        <v>-357.0427435387674</v>
      </c>
      <c r="Y106" s="88">
        <v>-390.9442870632672</v>
      </c>
      <c r="Z106" s="204">
        <v>-1339.3189784677015</v>
      </c>
      <c r="AA106" s="88">
        <v>-388.51606805293005</v>
      </c>
      <c r="AB106" s="88">
        <v>-426.07547169811323</v>
      </c>
      <c r="AC106" s="88">
        <v>-362</v>
      </c>
      <c r="AD106" s="88">
        <f t="shared" si="4"/>
        <v>-364.4084602489567</v>
      </c>
      <c r="AE106" s="204">
        <v>-1541</v>
      </c>
      <c r="AF106" s="88">
        <v>-393</v>
      </c>
      <c r="AG106" s="88">
        <v>-485</v>
      </c>
      <c r="AH106" s="88">
        <v>-479</v>
      </c>
      <c r="AI106" s="88">
        <v>-603</v>
      </c>
      <c r="AJ106" s="204">
        <v>-1948</v>
      </c>
      <c r="AK106" s="88">
        <v>-650</v>
      </c>
      <c r="AL106" s="88">
        <v>-615</v>
      </c>
      <c r="AM106" s="88">
        <v>-644</v>
      </c>
      <c r="AN106" s="88">
        <v>-330</v>
      </c>
      <c r="AO106" s="204">
        <v>-2195</v>
      </c>
      <c r="AP106" s="88">
        <v>-311</v>
      </c>
      <c r="AQ106" s="88">
        <v>-291</v>
      </c>
      <c r="AR106" s="88">
        <v>-470</v>
      </c>
      <c r="AS106" s="100">
        <v>-1041</v>
      </c>
      <c r="AT106" s="88">
        <v>-535</v>
      </c>
      <c r="AU106" s="100">
        <v>-535</v>
      </c>
      <c r="AV106" s="204">
        <v>-1576</v>
      </c>
      <c r="AW106" s="309">
        <v>-1576</v>
      </c>
      <c r="AX106" s="88">
        <v>-572</v>
      </c>
      <c r="AY106" s="88">
        <v>-503</v>
      </c>
      <c r="AZ106" s="88">
        <v>-573</v>
      </c>
      <c r="BA106" s="100"/>
      <c r="BB106" s="100">
        <v>-1646</v>
      </c>
      <c r="BC106" s="88">
        <v>-586</v>
      </c>
      <c r="BD106" s="204">
        <v>-2231</v>
      </c>
      <c r="BE106" s="378"/>
      <c r="BF106" s="106"/>
      <c r="BG106" s="106"/>
      <c r="BH106" s="106"/>
      <c r="BI106" s="106"/>
      <c r="BJ106" s="106"/>
      <c r="BK106" s="106"/>
      <c r="BL106" s="106"/>
      <c r="BM106" s="106"/>
      <c r="BN106" s="106"/>
      <c r="BO106" s="106"/>
      <c r="BP106" s="106"/>
      <c r="BQ106" s="106"/>
      <c r="BR106" s="106"/>
      <c r="BS106" s="106"/>
      <c r="BT106" s="106"/>
      <c r="BU106" s="106"/>
      <c r="BV106" s="106"/>
      <c r="BW106" s="106"/>
    </row>
    <row r="107" spans="1:75" ht="12.75" customHeight="1">
      <c r="A107" s="182" t="s">
        <v>200</v>
      </c>
      <c r="B107" s="106"/>
      <c r="C107" s="106"/>
      <c r="D107" s="106"/>
      <c r="E107" s="106"/>
      <c r="F107" s="93">
        <v>-86.80279232111693</v>
      </c>
      <c r="G107" s="106"/>
      <c r="H107" s="106"/>
      <c r="I107" s="106"/>
      <c r="J107" s="106"/>
      <c r="K107" s="93">
        <v>-69.75581395348837</v>
      </c>
      <c r="L107" s="106"/>
      <c r="M107" s="106"/>
      <c r="N107" s="106"/>
      <c r="O107" s="106"/>
      <c r="P107" s="93">
        <v>-39.848484848484844</v>
      </c>
      <c r="Q107" s="106"/>
      <c r="R107" s="106"/>
      <c r="S107" s="106"/>
      <c r="T107" s="106"/>
      <c r="U107" s="93">
        <v>-53.97334649555775</v>
      </c>
      <c r="V107" s="88">
        <v>-22.155080213903744</v>
      </c>
      <c r="W107" s="88">
        <v>-25.35552193645991</v>
      </c>
      <c r="X107" s="88">
        <v>-23.628230616302186</v>
      </c>
      <c r="Y107" s="88">
        <v>-30.71293673276676</v>
      </c>
      <c r="Z107" s="204">
        <v>-102.30345518277417</v>
      </c>
      <c r="AA107" s="88">
        <v>-36.79584120982987</v>
      </c>
      <c r="AB107" s="88">
        <v>-1.7122641509433962</v>
      </c>
      <c r="AC107" s="88">
        <v>0</v>
      </c>
      <c r="AD107" s="88">
        <f t="shared" si="4"/>
        <v>-0.4918946392267358</v>
      </c>
      <c r="AE107" s="204">
        <v>-39</v>
      </c>
      <c r="AF107" s="88" t="s">
        <v>294</v>
      </c>
      <c r="AG107" s="88">
        <v>0</v>
      </c>
      <c r="AH107" s="88">
        <v>0</v>
      </c>
      <c r="AI107" s="88">
        <v>-70</v>
      </c>
      <c r="AJ107" s="204">
        <v>-68</v>
      </c>
      <c r="AK107" s="88">
        <v>-50</v>
      </c>
      <c r="AL107" s="88">
        <v>-54</v>
      </c>
      <c r="AM107" s="88">
        <v>-110</v>
      </c>
      <c r="AN107" s="88">
        <v>-95</v>
      </c>
      <c r="AO107" s="204">
        <v>-311</v>
      </c>
      <c r="AP107" s="88">
        <v>-82</v>
      </c>
      <c r="AQ107" s="88">
        <v>-61</v>
      </c>
      <c r="AR107" s="88">
        <v>-848</v>
      </c>
      <c r="AS107" s="100">
        <v>-907</v>
      </c>
      <c r="AT107" s="88">
        <v>-461</v>
      </c>
      <c r="AU107" s="100">
        <v>-462</v>
      </c>
      <c r="AV107" s="204">
        <v>-1369</v>
      </c>
      <c r="AW107" s="309">
        <v>-1369</v>
      </c>
      <c r="AX107" s="88">
        <v>-479</v>
      </c>
      <c r="AY107" s="88">
        <v>-411</v>
      </c>
      <c r="AZ107" s="88">
        <v>-456</v>
      </c>
      <c r="BA107" s="100"/>
      <c r="BB107" s="100">
        <v>-1342</v>
      </c>
      <c r="BC107" s="88">
        <v>-219</v>
      </c>
      <c r="BD107" s="204">
        <v>-1566</v>
      </c>
      <c r="BE107" s="378"/>
      <c r="BF107" s="106"/>
      <c r="BG107" s="106"/>
      <c r="BH107" s="106"/>
      <c r="BI107" s="106"/>
      <c r="BJ107" s="106"/>
      <c r="BK107" s="106"/>
      <c r="BL107" s="106"/>
      <c r="BM107" s="106"/>
      <c r="BN107" s="106"/>
      <c r="BO107" s="106"/>
      <c r="BP107" s="106"/>
      <c r="BQ107" s="106"/>
      <c r="BR107" s="106"/>
      <c r="BS107" s="106"/>
      <c r="BT107" s="106"/>
      <c r="BU107" s="106"/>
      <c r="BV107" s="106"/>
      <c r="BW107" s="106"/>
    </row>
    <row r="108" spans="1:75" ht="12.75" customHeight="1">
      <c r="A108" s="182" t="s">
        <v>201</v>
      </c>
      <c r="B108" s="106"/>
      <c r="C108" s="106"/>
      <c r="D108" s="106"/>
      <c r="E108" s="106"/>
      <c r="F108" s="93">
        <v>-205.21815008726003</v>
      </c>
      <c r="G108" s="106"/>
      <c r="H108" s="106"/>
      <c r="I108" s="106"/>
      <c r="J108" s="106"/>
      <c r="K108" s="93">
        <v>-47.70542635658915</v>
      </c>
      <c r="L108" s="106"/>
      <c r="M108" s="106"/>
      <c r="N108" s="106"/>
      <c r="O108" s="106"/>
      <c r="P108" s="93">
        <v>-125.05347593582887</v>
      </c>
      <c r="Q108" s="106"/>
      <c r="R108" s="106"/>
      <c r="S108" s="106"/>
      <c r="T108" s="106"/>
      <c r="U108" s="93">
        <v>-240.72063178677197</v>
      </c>
      <c r="V108" s="88">
        <v>-91.88770053475936</v>
      </c>
      <c r="W108" s="88">
        <v>-99.34947049924357</v>
      </c>
      <c r="X108" s="88">
        <v>-98.11630218687873</v>
      </c>
      <c r="Y108" s="88">
        <v>-109.11709159584512</v>
      </c>
      <c r="Z108" s="204">
        <v>-399.27891837756636</v>
      </c>
      <c r="AA108" s="88">
        <v>-111.19565217391305</v>
      </c>
      <c r="AB108" s="88">
        <v>-116.03301886792453</v>
      </c>
      <c r="AC108" s="88">
        <v>-112</v>
      </c>
      <c r="AD108" s="88">
        <f t="shared" si="4"/>
        <v>-113.77132895816244</v>
      </c>
      <c r="AE108" s="204">
        <v>-453</v>
      </c>
      <c r="AF108" s="88">
        <v>-114</v>
      </c>
      <c r="AG108" s="88">
        <v>-144</v>
      </c>
      <c r="AH108" s="88">
        <v>-135</v>
      </c>
      <c r="AI108" s="88">
        <v>-150</v>
      </c>
      <c r="AJ108" s="204">
        <v>-541</v>
      </c>
      <c r="AK108" s="88">
        <v>-183</v>
      </c>
      <c r="AL108" s="88">
        <v>-164</v>
      </c>
      <c r="AM108" s="88">
        <v>-174</v>
      </c>
      <c r="AN108" s="88">
        <v>-97</v>
      </c>
      <c r="AO108" s="204">
        <v>-607</v>
      </c>
      <c r="AP108" s="88">
        <v>-93</v>
      </c>
      <c r="AQ108" s="88">
        <v>-95</v>
      </c>
      <c r="AR108" s="88">
        <v>-152</v>
      </c>
      <c r="AS108" s="100">
        <v>-330</v>
      </c>
      <c r="AT108" s="88">
        <v>-160</v>
      </c>
      <c r="AU108" s="100">
        <v>-160</v>
      </c>
      <c r="AV108" s="204">
        <v>-490</v>
      </c>
      <c r="AW108" s="309">
        <v>-490</v>
      </c>
      <c r="AX108" s="88">
        <v>-166</v>
      </c>
      <c r="AY108" s="88">
        <v>-94</v>
      </c>
      <c r="AZ108" s="88">
        <v>-208</v>
      </c>
      <c r="BA108" s="100"/>
      <c r="BB108" s="100">
        <v>-467</v>
      </c>
      <c r="BC108" s="88">
        <v>-150</v>
      </c>
      <c r="BD108" s="204">
        <v>-617</v>
      </c>
      <c r="BE108" s="378"/>
      <c r="BF108" s="106"/>
      <c r="BG108" s="106"/>
      <c r="BH108" s="106"/>
      <c r="BI108" s="106"/>
      <c r="BJ108" s="106"/>
      <c r="BK108" s="106"/>
      <c r="BL108" s="106"/>
      <c r="BM108" s="106"/>
      <c r="BN108" s="106"/>
      <c r="BO108" s="106"/>
      <c r="BP108" s="106"/>
      <c r="BQ108" s="106"/>
      <c r="BR108" s="106"/>
      <c r="BS108" s="106"/>
      <c r="BT108" s="106"/>
      <c r="BU108" s="106"/>
      <c r="BV108" s="106"/>
      <c r="BW108" s="106"/>
    </row>
    <row r="109" spans="1:75" ht="12.75" customHeight="1">
      <c r="A109" s="182" t="s">
        <v>202</v>
      </c>
      <c r="B109" s="106"/>
      <c r="C109" s="106"/>
      <c r="D109" s="106"/>
      <c r="E109" s="106"/>
      <c r="F109" s="93">
        <v>-50.06631762652705</v>
      </c>
      <c r="G109" s="106"/>
      <c r="H109" s="106"/>
      <c r="I109" s="106"/>
      <c r="J109" s="106"/>
      <c r="K109" s="93">
        <v>-60.44961240310077</v>
      </c>
      <c r="L109" s="106"/>
      <c r="M109" s="106"/>
      <c r="N109" s="106"/>
      <c r="O109" s="106"/>
      <c r="P109" s="93">
        <v>-94.09982174688056</v>
      </c>
      <c r="Q109" s="106"/>
      <c r="R109" s="106"/>
      <c r="S109" s="106"/>
      <c r="T109" s="106"/>
      <c r="U109" s="93">
        <v>-436.786771964462</v>
      </c>
      <c r="V109" s="88">
        <v>-74.94652406417113</v>
      </c>
      <c r="W109" s="88">
        <v>-97.33232476046393</v>
      </c>
      <c r="X109" s="88">
        <v>-96.69980119284295</v>
      </c>
      <c r="Y109" s="88">
        <v>-175.52407932011332</v>
      </c>
      <c r="Z109" s="204">
        <v>-450.4156234351528</v>
      </c>
      <c r="AA109" s="88">
        <v>-74.2296786389414</v>
      </c>
      <c r="AB109" s="88">
        <v>-101.79245283018868</v>
      </c>
      <c r="AC109" s="88">
        <v>-101</v>
      </c>
      <c r="AD109" s="88">
        <f t="shared" si="4"/>
        <v>-183.97786853086996</v>
      </c>
      <c r="AE109" s="204">
        <v>-461</v>
      </c>
      <c r="AF109" s="88">
        <v>-70</v>
      </c>
      <c r="AG109" s="88">
        <v>-110</v>
      </c>
      <c r="AH109" s="88">
        <v>-115</v>
      </c>
      <c r="AI109" s="88">
        <v>-234</v>
      </c>
      <c r="AJ109" s="204">
        <v>-521</v>
      </c>
      <c r="AK109" s="88">
        <v>-111</v>
      </c>
      <c r="AL109" s="88">
        <v>-219</v>
      </c>
      <c r="AM109" s="88">
        <v>-230</v>
      </c>
      <c r="AN109" s="88">
        <v>-206</v>
      </c>
      <c r="AO109" s="204">
        <v>-764</v>
      </c>
      <c r="AP109" s="88">
        <v>-142</v>
      </c>
      <c r="AQ109" s="88">
        <v>-144</v>
      </c>
      <c r="AR109" s="88">
        <v>-119</v>
      </c>
      <c r="AS109" s="100">
        <v>-400</v>
      </c>
      <c r="AT109" s="88">
        <v>-201</v>
      </c>
      <c r="AU109" s="100">
        <v>-199</v>
      </c>
      <c r="AV109" s="204">
        <v>-601</v>
      </c>
      <c r="AW109" s="309">
        <v>-599</v>
      </c>
      <c r="AX109" s="88">
        <v>-90</v>
      </c>
      <c r="AY109" s="88">
        <v>-199</v>
      </c>
      <c r="AZ109" s="88">
        <v>-76</v>
      </c>
      <c r="BA109" s="100"/>
      <c r="BB109" s="100">
        <v>-366</v>
      </c>
      <c r="BC109" s="88">
        <v>-132</v>
      </c>
      <c r="BD109" s="204">
        <v>-499</v>
      </c>
      <c r="BE109" s="378"/>
      <c r="BF109" s="106"/>
      <c r="BG109" s="106"/>
      <c r="BH109" s="106"/>
      <c r="BI109" s="106"/>
      <c r="BJ109" s="106"/>
      <c r="BK109" s="106"/>
      <c r="BL109" s="106"/>
      <c r="BM109" s="106"/>
      <c r="BN109" s="106"/>
      <c r="BO109" s="106"/>
      <c r="BP109" s="106"/>
      <c r="BQ109" s="106"/>
      <c r="BR109" s="106"/>
      <c r="BS109" s="106"/>
      <c r="BT109" s="106"/>
      <c r="BU109" s="106"/>
      <c r="BV109" s="106"/>
      <c r="BW109" s="106"/>
    </row>
    <row r="110" spans="1:75" s="116" customFormat="1" ht="12.75" customHeight="1">
      <c r="A110" s="185" t="s">
        <v>203</v>
      </c>
      <c r="B110" s="108"/>
      <c r="C110" s="108"/>
      <c r="D110" s="108"/>
      <c r="E110" s="108"/>
      <c r="F110" s="97">
        <v>4100.415357766144</v>
      </c>
      <c r="G110" s="108"/>
      <c r="H110" s="108"/>
      <c r="I110" s="108"/>
      <c r="J110" s="108"/>
      <c r="K110" s="97">
        <v>4494.794573643411</v>
      </c>
      <c r="L110" s="108"/>
      <c r="M110" s="108"/>
      <c r="N110" s="108"/>
      <c r="O110" s="108"/>
      <c r="P110" s="97">
        <v>6702.486631016043</v>
      </c>
      <c r="Q110" s="108"/>
      <c r="R110" s="108"/>
      <c r="S110" s="108"/>
      <c r="T110" s="108"/>
      <c r="U110" s="97">
        <v>9653.652517275419</v>
      </c>
      <c r="V110" s="96">
        <v>3054.700534759358</v>
      </c>
      <c r="W110" s="96">
        <v>2748.633383761976</v>
      </c>
      <c r="X110" s="96">
        <v>2911.32703777336</v>
      </c>
      <c r="Y110" s="96">
        <v>3555.816808309726</v>
      </c>
      <c r="Z110" s="205">
        <v>12294.261392088134</v>
      </c>
      <c r="AA110" s="96">
        <v>3774.4281663516063</v>
      </c>
      <c r="AB110" s="96">
        <v>3311</v>
      </c>
      <c r="AC110" s="96">
        <v>3527</v>
      </c>
      <c r="AD110" s="96">
        <f t="shared" si="4"/>
        <v>3121.5718336483937</v>
      </c>
      <c r="AE110" s="205">
        <v>13734</v>
      </c>
      <c r="AF110" s="96">
        <v>2677</v>
      </c>
      <c r="AG110" s="96">
        <v>3291</v>
      </c>
      <c r="AH110" s="96">
        <v>3738</v>
      </c>
      <c r="AI110" s="96">
        <v>4507</v>
      </c>
      <c r="AJ110" s="205">
        <v>14112</v>
      </c>
      <c r="AK110" s="96">
        <v>4537</v>
      </c>
      <c r="AL110" s="96">
        <v>5804</v>
      </c>
      <c r="AM110" s="96">
        <v>6212</v>
      </c>
      <c r="AN110" s="96">
        <v>4274</v>
      </c>
      <c r="AO110" s="205">
        <v>20576</v>
      </c>
      <c r="AP110" s="96">
        <v>2794</v>
      </c>
      <c r="AQ110" s="96">
        <v>3323</v>
      </c>
      <c r="AR110" s="96">
        <v>3998</v>
      </c>
      <c r="AS110" s="100">
        <v>9928</v>
      </c>
      <c r="AT110" s="88">
        <v>4340</v>
      </c>
      <c r="AU110" s="100">
        <v>4307</v>
      </c>
      <c r="AV110" s="205">
        <v>14265</v>
      </c>
      <c r="AW110" s="310">
        <v>14235</v>
      </c>
      <c r="AX110" s="96">
        <v>3614</v>
      </c>
      <c r="AY110" s="96">
        <v>4028</v>
      </c>
      <c r="AZ110" s="96">
        <v>4393</v>
      </c>
      <c r="BA110" s="294"/>
      <c r="BB110" s="294">
        <v>12072</v>
      </c>
      <c r="BC110" s="96">
        <v>4595</v>
      </c>
      <c r="BD110" s="205">
        <v>16656</v>
      </c>
      <c r="BE110" s="386"/>
      <c r="BF110" s="108"/>
      <c r="BG110" s="108"/>
      <c r="BH110" s="108"/>
      <c r="BI110" s="108"/>
      <c r="BJ110" s="108"/>
      <c r="BK110" s="108"/>
      <c r="BL110" s="108"/>
      <c r="BM110" s="108"/>
      <c r="BN110" s="108"/>
      <c r="BO110" s="108"/>
      <c r="BP110" s="108"/>
      <c r="BQ110" s="108"/>
      <c r="BR110" s="108"/>
      <c r="BS110" s="108"/>
      <c r="BT110" s="108"/>
      <c r="BU110" s="108"/>
      <c r="BV110" s="108"/>
      <c r="BW110" s="108"/>
    </row>
    <row r="111" spans="1:75" s="116" customFormat="1" ht="12.75" customHeight="1">
      <c r="A111" s="125"/>
      <c r="AS111" s="302"/>
      <c r="AU111" s="302"/>
      <c r="AW111" s="302"/>
      <c r="BA111" s="302"/>
      <c r="BB111" s="302"/>
      <c r="BE111" s="386"/>
      <c r="BF111" s="108"/>
      <c r="BG111" s="108"/>
      <c r="BH111" s="108"/>
      <c r="BI111" s="108"/>
      <c r="BJ111" s="108"/>
      <c r="BK111" s="108"/>
      <c r="BL111" s="108"/>
      <c r="BM111" s="108"/>
      <c r="BN111" s="108"/>
      <c r="BO111" s="108"/>
      <c r="BP111" s="108"/>
      <c r="BQ111" s="108"/>
      <c r="BR111" s="108"/>
      <c r="BS111" s="108"/>
      <c r="BT111" s="108"/>
      <c r="BU111" s="108"/>
      <c r="BV111" s="108"/>
      <c r="BW111" s="108"/>
    </row>
    <row r="112" spans="57:75" ht="12.75">
      <c r="BE112" s="378"/>
      <c r="BF112" s="106"/>
      <c r="BG112" s="106"/>
      <c r="BH112" s="106"/>
      <c r="BI112" s="106"/>
      <c r="BJ112" s="106"/>
      <c r="BK112" s="106"/>
      <c r="BL112" s="106"/>
      <c r="BM112" s="106"/>
      <c r="BN112" s="106"/>
      <c r="BO112" s="106"/>
      <c r="BP112" s="106"/>
      <c r="BQ112" s="106"/>
      <c r="BR112" s="106"/>
      <c r="BS112" s="106"/>
      <c r="BT112" s="106"/>
      <c r="BU112" s="106"/>
      <c r="BV112" s="106"/>
      <c r="BW112" s="106"/>
    </row>
    <row r="113" spans="1:75" ht="25.5">
      <c r="A113" s="180" t="s">
        <v>385</v>
      </c>
      <c r="B113" s="90" t="s">
        <v>2</v>
      </c>
      <c r="C113" s="90" t="s">
        <v>3</v>
      </c>
      <c r="D113" s="90" t="s">
        <v>4</v>
      </c>
      <c r="E113" s="90" t="s">
        <v>5</v>
      </c>
      <c r="F113" s="90" t="s">
        <v>6</v>
      </c>
      <c r="G113" s="90" t="s">
        <v>12</v>
      </c>
      <c r="H113" s="90" t="s">
        <v>13</v>
      </c>
      <c r="I113" s="90" t="s">
        <v>14</v>
      </c>
      <c r="J113" s="90" t="s">
        <v>15</v>
      </c>
      <c r="K113" s="90" t="s">
        <v>16</v>
      </c>
      <c r="L113" s="90" t="s">
        <v>17</v>
      </c>
      <c r="M113" s="90" t="s">
        <v>18</v>
      </c>
      <c r="N113" s="90" t="s">
        <v>19</v>
      </c>
      <c r="O113" s="90" t="s">
        <v>20</v>
      </c>
      <c r="P113" s="90" t="s">
        <v>21</v>
      </c>
      <c r="Q113" s="90" t="s">
        <v>22</v>
      </c>
      <c r="R113" s="90" t="s">
        <v>23</v>
      </c>
      <c r="S113" s="90" t="s">
        <v>24</v>
      </c>
      <c r="T113" s="90" t="s">
        <v>25</v>
      </c>
      <c r="U113" s="90" t="s">
        <v>26</v>
      </c>
      <c r="V113" s="181" t="s">
        <v>27</v>
      </c>
      <c r="W113" s="181" t="s">
        <v>28</v>
      </c>
      <c r="X113" s="181" t="s">
        <v>29</v>
      </c>
      <c r="Y113" s="181" t="s">
        <v>30</v>
      </c>
      <c r="Z113" s="181" t="s">
        <v>31</v>
      </c>
      <c r="AA113" s="181" t="s">
        <v>32</v>
      </c>
      <c r="AB113" s="181" t="s">
        <v>33</v>
      </c>
      <c r="AC113" s="181" t="s">
        <v>34</v>
      </c>
      <c r="AD113" s="181" t="s">
        <v>271</v>
      </c>
      <c r="AE113" s="181" t="s">
        <v>272</v>
      </c>
      <c r="AF113" s="181" t="s">
        <v>274</v>
      </c>
      <c r="AG113" s="181" t="s">
        <v>276</v>
      </c>
      <c r="AH113" s="181" t="s">
        <v>278</v>
      </c>
      <c r="AI113" s="188" t="s">
        <v>280</v>
      </c>
      <c r="AJ113" s="188" t="s">
        <v>281</v>
      </c>
      <c r="AK113" s="188" t="s">
        <v>289</v>
      </c>
      <c r="AL113" s="188" t="s">
        <v>290</v>
      </c>
      <c r="AM113" s="188" t="s">
        <v>291</v>
      </c>
      <c r="AN113" s="188" t="s">
        <v>292</v>
      </c>
      <c r="AO113" s="188" t="s">
        <v>293</v>
      </c>
      <c r="AP113" s="188" t="s">
        <v>329</v>
      </c>
      <c r="AQ113" s="188" t="s">
        <v>330</v>
      </c>
      <c r="AR113" s="188" t="s">
        <v>331</v>
      </c>
      <c r="AS113" s="306" t="s">
        <v>490</v>
      </c>
      <c r="AT113" s="188" t="s">
        <v>332</v>
      </c>
      <c r="AU113" s="317" t="s">
        <v>477</v>
      </c>
      <c r="AV113" s="188" t="s">
        <v>333</v>
      </c>
      <c r="AW113" s="306" t="s">
        <v>463</v>
      </c>
      <c r="AX113" s="188" t="s">
        <v>448</v>
      </c>
      <c r="AY113" s="188" t="s">
        <v>451</v>
      </c>
      <c r="AZ113" s="188" t="s">
        <v>453</v>
      </c>
      <c r="BA113" s="306"/>
      <c r="BB113" s="317" t="s">
        <v>480</v>
      </c>
      <c r="BC113" s="188" t="s">
        <v>454</v>
      </c>
      <c r="BD113" s="188" t="s">
        <v>457</v>
      </c>
      <c r="BE113" s="387"/>
      <c r="BF113" s="226"/>
      <c r="BG113" s="226"/>
      <c r="BH113" s="226"/>
      <c r="BI113" s="226"/>
      <c r="BJ113" s="226"/>
      <c r="BK113" s="226"/>
      <c r="BL113" s="226"/>
      <c r="BM113" s="226"/>
      <c r="BN113" s="226"/>
      <c r="BO113" s="226"/>
      <c r="BP113" s="226"/>
      <c r="BQ113" s="226"/>
      <c r="BR113" s="226"/>
      <c r="BS113" s="226"/>
      <c r="BT113" s="226"/>
      <c r="BU113" s="226"/>
      <c r="BV113" s="226"/>
      <c r="BW113" s="226"/>
    </row>
    <row r="114" spans="1:75" ht="12.75">
      <c r="A114" s="125"/>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7"/>
      <c r="AL114" s="127"/>
      <c r="AM114" s="127"/>
      <c r="AN114" s="127"/>
      <c r="AO114" s="127"/>
      <c r="AP114" s="127"/>
      <c r="AQ114" s="127"/>
      <c r="AR114" s="127"/>
      <c r="AS114" s="303"/>
      <c r="AT114" s="127"/>
      <c r="AU114" s="303"/>
      <c r="AV114" s="127"/>
      <c r="AW114" s="303"/>
      <c r="AX114" s="123"/>
      <c r="AY114" s="123"/>
      <c r="AZ114" s="123"/>
      <c r="BA114" s="301"/>
      <c r="BB114" s="301"/>
      <c r="BC114" s="123"/>
      <c r="BD114" s="127"/>
      <c r="BE114" s="387"/>
      <c r="BF114" s="226"/>
      <c r="BG114" s="226"/>
      <c r="BH114" s="226"/>
      <c r="BI114" s="226"/>
      <c r="BJ114" s="226"/>
      <c r="BK114" s="226"/>
      <c r="BL114" s="226"/>
      <c r="BM114" s="226"/>
      <c r="BN114" s="226"/>
      <c r="BO114" s="226"/>
      <c r="BP114" s="226"/>
      <c r="BQ114" s="226"/>
      <c r="BR114" s="226"/>
      <c r="BS114" s="226"/>
      <c r="BT114" s="226"/>
      <c r="BU114" s="226"/>
      <c r="BV114" s="226"/>
      <c r="BW114" s="226"/>
    </row>
    <row r="115" spans="1:75" ht="12.75">
      <c r="A115" s="183" t="s">
        <v>192</v>
      </c>
      <c r="B115" s="88">
        <v>7.533913043478261</v>
      </c>
      <c r="C115" s="88">
        <v>5.269949066213922</v>
      </c>
      <c r="D115" s="88">
        <v>3.4216101694915255</v>
      </c>
      <c r="E115" s="88">
        <v>5.277777777777778</v>
      </c>
      <c r="F115" s="93">
        <v>21.532286212914485</v>
      </c>
      <c r="G115" s="88">
        <v>3.3620689655172415</v>
      </c>
      <c r="H115" s="88">
        <v>6.773706082357386</v>
      </c>
      <c r="I115" s="88">
        <v>1.5724027276373846</v>
      </c>
      <c r="J115" s="88">
        <v>5.696994991652755</v>
      </c>
      <c r="K115" s="93">
        <v>17.387596899224807</v>
      </c>
      <c r="L115" s="88">
        <v>1.2031732040546497</v>
      </c>
      <c r="M115" s="88">
        <v>30.629528985507246</v>
      </c>
      <c r="N115" s="88">
        <v>-23.49935036812473</v>
      </c>
      <c r="O115" s="88">
        <v>39.67535436671239</v>
      </c>
      <c r="P115" s="93">
        <v>45.842245989304814</v>
      </c>
      <c r="Q115" s="88">
        <v>29.5</v>
      </c>
      <c r="R115" s="88">
        <v>44.519827998088864</v>
      </c>
      <c r="S115" s="88">
        <v>62.622789783889985</v>
      </c>
      <c r="T115" s="88">
        <v>63.84412848867825</v>
      </c>
      <c r="U115" s="93">
        <v>199.05231984205332</v>
      </c>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300"/>
      <c r="AT115" s="106"/>
      <c r="AU115" s="300"/>
      <c r="AV115" s="106"/>
      <c r="AW115" s="300"/>
      <c r="AX115" s="106"/>
      <c r="AY115" s="106"/>
      <c r="AZ115" s="106"/>
      <c r="BA115" s="300"/>
      <c r="BB115" s="300"/>
      <c r="BC115" s="106"/>
      <c r="BD115" s="106"/>
      <c r="BE115" s="378"/>
      <c r="BF115" s="106"/>
      <c r="BG115" s="106"/>
      <c r="BH115" s="106"/>
      <c r="BI115" s="106"/>
      <c r="BJ115" s="106"/>
      <c r="BK115" s="106"/>
      <c r="BL115" s="106"/>
      <c r="BM115" s="106"/>
      <c r="BN115" s="106"/>
      <c r="BO115" s="106"/>
      <c r="BP115" s="106"/>
      <c r="BQ115" s="106"/>
      <c r="BR115" s="106"/>
      <c r="BS115" s="106"/>
      <c r="BT115" s="106"/>
      <c r="BU115" s="106"/>
      <c r="BV115" s="106"/>
      <c r="BW115" s="106"/>
    </row>
    <row r="116" spans="1:75" ht="12.75">
      <c r="A116" s="183" t="s">
        <v>193</v>
      </c>
      <c r="B116" s="88">
        <v>519.9582608695653</v>
      </c>
      <c r="C116" s="88">
        <v>573.616298811545</v>
      </c>
      <c r="D116" s="88">
        <v>701.670197740113</v>
      </c>
      <c r="E116" s="88">
        <v>549.074074074074</v>
      </c>
      <c r="F116" s="93">
        <v>2343.1448516579408</v>
      </c>
      <c r="G116" s="88">
        <v>482.1623563218391</v>
      </c>
      <c r="H116" s="88">
        <v>700.593124291651</v>
      </c>
      <c r="I116" s="88">
        <v>675.6277577216205</v>
      </c>
      <c r="J116" s="88">
        <v>687.6919866444074</v>
      </c>
      <c r="K116" s="93">
        <v>2530.5658914728683</v>
      </c>
      <c r="L116" s="88">
        <v>673.2613486117232</v>
      </c>
      <c r="M116" s="88">
        <v>1045.4121376811593</v>
      </c>
      <c r="N116" s="88">
        <v>1103.6509311390212</v>
      </c>
      <c r="O116" s="88">
        <v>1153.2510288065844</v>
      </c>
      <c r="P116" s="93">
        <v>3968.9795008912656</v>
      </c>
      <c r="Q116" s="88">
        <v>1043.3461538461538</v>
      </c>
      <c r="R116" s="88">
        <v>1291.9732441471572</v>
      </c>
      <c r="S116" s="88">
        <v>1611.925343811395</v>
      </c>
      <c r="T116" s="88">
        <v>1935.1869404949973</v>
      </c>
      <c r="U116" s="93">
        <v>5839.615004935834</v>
      </c>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300"/>
      <c r="AT116" s="106"/>
      <c r="AU116" s="300"/>
      <c r="AV116" s="106"/>
      <c r="AW116" s="300"/>
      <c r="AX116" s="106"/>
      <c r="AY116" s="106"/>
      <c r="AZ116" s="106"/>
      <c r="BA116" s="300"/>
      <c r="BB116" s="300"/>
      <c r="BC116" s="106"/>
      <c r="BD116" s="106"/>
      <c r="BE116" s="378"/>
      <c r="BF116" s="106"/>
      <c r="BG116" s="106"/>
      <c r="BH116" s="106"/>
      <c r="BI116" s="106"/>
      <c r="BJ116" s="106"/>
      <c r="BK116" s="106"/>
      <c r="BL116" s="106"/>
      <c r="BM116" s="106"/>
      <c r="BN116" s="106"/>
      <c r="BO116" s="106"/>
      <c r="BP116" s="106"/>
      <c r="BQ116" s="106"/>
      <c r="BR116" s="106"/>
      <c r="BS116" s="106"/>
      <c r="BT116" s="106"/>
      <c r="BU116" s="106"/>
      <c r="BV116" s="106"/>
      <c r="BW116" s="106"/>
    </row>
    <row r="117" spans="1:75" ht="12.75">
      <c r="A117" s="183" t="s">
        <v>194</v>
      </c>
      <c r="B117" s="88">
        <v>370.5321739130435</v>
      </c>
      <c r="C117" s="88">
        <v>160.0916808149406</v>
      </c>
      <c r="D117" s="88">
        <v>179.31850282485877</v>
      </c>
      <c r="E117" s="88">
        <v>443.6289173789174</v>
      </c>
      <c r="F117" s="93">
        <v>1148.4432809773125</v>
      </c>
      <c r="G117" s="88">
        <v>429.2887931034483</v>
      </c>
      <c r="H117" s="88">
        <v>238.94975443898755</v>
      </c>
      <c r="I117" s="88">
        <v>218.3032490974729</v>
      </c>
      <c r="J117" s="88">
        <v>511.0684474123539</v>
      </c>
      <c r="K117" s="93">
        <v>1393.9496124031007</v>
      </c>
      <c r="L117" s="88">
        <v>657.7831643895989</v>
      </c>
      <c r="M117" s="88">
        <v>322.6132246376811</v>
      </c>
      <c r="N117" s="88">
        <v>274.01905586834124</v>
      </c>
      <c r="O117" s="88">
        <v>669.4421582075903</v>
      </c>
      <c r="P117" s="93">
        <v>1916.9429590017826</v>
      </c>
      <c r="Q117" s="88">
        <v>983.3509615384615</v>
      </c>
      <c r="R117" s="88">
        <v>422.5561395126612</v>
      </c>
      <c r="S117" s="88">
        <v>338.688605108055</v>
      </c>
      <c r="T117" s="88">
        <v>886.8299104791995</v>
      </c>
      <c r="U117" s="93">
        <v>2617.690029615005</v>
      </c>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300"/>
      <c r="AT117" s="106"/>
      <c r="AU117" s="300"/>
      <c r="AV117" s="106"/>
      <c r="AW117" s="300"/>
      <c r="AX117" s="106"/>
      <c r="AY117" s="106"/>
      <c r="AZ117" s="106"/>
      <c r="BA117" s="300"/>
      <c r="BB117" s="300"/>
      <c r="BC117" s="106"/>
      <c r="BD117" s="106"/>
      <c r="BE117" s="378"/>
      <c r="BF117" s="106"/>
      <c r="BG117" s="106"/>
      <c r="BH117" s="106"/>
      <c r="BI117" s="106"/>
      <c r="BJ117" s="106"/>
      <c r="BK117" s="106"/>
      <c r="BL117" s="106"/>
      <c r="BM117" s="106"/>
      <c r="BN117" s="106"/>
      <c r="BO117" s="106"/>
      <c r="BP117" s="106"/>
      <c r="BQ117" s="106"/>
      <c r="BR117" s="106"/>
      <c r="BS117" s="106"/>
      <c r="BT117" s="106"/>
      <c r="BU117" s="106"/>
      <c r="BV117" s="106"/>
      <c r="BW117" s="106"/>
    </row>
    <row r="118" spans="1:75" ht="12.75">
      <c r="A118" s="183" t="s">
        <v>62</v>
      </c>
      <c r="B118" s="88">
        <v>139.2382608695652</v>
      </c>
      <c r="C118" s="88">
        <v>110.76740237691001</v>
      </c>
      <c r="D118" s="88">
        <v>128.37923728813558</v>
      </c>
      <c r="E118" s="88">
        <v>107.3076923076923</v>
      </c>
      <c r="F118" s="93">
        <v>485.65794066317625</v>
      </c>
      <c r="G118" s="88">
        <v>102.74425287356323</v>
      </c>
      <c r="H118" s="88">
        <v>111.58670192670948</v>
      </c>
      <c r="I118" s="88">
        <v>130.70998796630565</v>
      </c>
      <c r="J118" s="88">
        <v>134.75375626043407</v>
      </c>
      <c r="K118" s="93">
        <v>476.7984496124031</v>
      </c>
      <c r="L118" s="88">
        <v>146.89731159100924</v>
      </c>
      <c r="M118" s="88">
        <v>212.64945652173913</v>
      </c>
      <c r="N118" s="88">
        <v>183.73754872239064</v>
      </c>
      <c r="O118" s="88">
        <v>211.6918152720622</v>
      </c>
      <c r="P118" s="93">
        <v>753.1461675579322</v>
      </c>
      <c r="Q118" s="88">
        <v>212.23076923076923</v>
      </c>
      <c r="R118" s="88">
        <v>235.07405637840418</v>
      </c>
      <c r="S118" s="88">
        <v>231.43418467583498</v>
      </c>
      <c r="T118" s="88">
        <v>300.5476566614007</v>
      </c>
      <c r="U118" s="93">
        <v>975.019743336624</v>
      </c>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300"/>
      <c r="AT118" s="106"/>
      <c r="AU118" s="300"/>
      <c r="AV118" s="106"/>
      <c r="AW118" s="300"/>
      <c r="AX118" s="106"/>
      <c r="AY118" s="106"/>
      <c r="AZ118" s="106"/>
      <c r="BA118" s="300"/>
      <c r="BB118" s="300"/>
      <c r="BC118" s="106"/>
      <c r="BD118" s="106"/>
      <c r="BE118" s="378"/>
      <c r="BF118" s="106"/>
      <c r="BG118" s="106"/>
      <c r="BH118" s="106"/>
      <c r="BI118" s="106"/>
      <c r="BJ118" s="106"/>
      <c r="BK118" s="106"/>
      <c r="BL118" s="106"/>
      <c r="BM118" s="106"/>
      <c r="BN118" s="106"/>
      <c r="BO118" s="106"/>
      <c r="BP118" s="106"/>
      <c r="BQ118" s="106"/>
      <c r="BR118" s="106"/>
      <c r="BS118" s="106"/>
      <c r="BT118" s="106"/>
      <c r="BU118" s="106"/>
      <c r="BV118" s="106"/>
      <c r="BW118" s="106"/>
    </row>
    <row r="119" spans="1:75" ht="12.75">
      <c r="A119" s="183" t="s">
        <v>195</v>
      </c>
      <c r="B119" s="88">
        <v>26.723478260869566</v>
      </c>
      <c r="C119" s="88">
        <v>38.730050933786075</v>
      </c>
      <c r="D119" s="88">
        <v>13.502824858757062</v>
      </c>
      <c r="E119" s="88">
        <v>22.1011396011396</v>
      </c>
      <c r="F119" s="93">
        <v>101.63699825479931</v>
      </c>
      <c r="G119" s="88">
        <v>30.571120689655174</v>
      </c>
      <c r="H119" s="88">
        <v>24.52965621458255</v>
      </c>
      <c r="I119" s="88">
        <v>9.77135980746089</v>
      </c>
      <c r="J119" s="88">
        <v>9.148580968280468</v>
      </c>
      <c r="K119" s="93">
        <v>76.09302325581395</v>
      </c>
      <c r="L119" s="88">
        <v>13.287791978845306</v>
      </c>
      <c r="M119" s="88">
        <v>-7.382246376811594</v>
      </c>
      <c r="N119" s="88">
        <v>4.352533564313555</v>
      </c>
      <c r="O119" s="88">
        <v>7.10562414266118</v>
      </c>
      <c r="P119" s="93">
        <v>17.575757575757574</v>
      </c>
      <c r="Q119" s="88">
        <v>4.4423076923076925</v>
      </c>
      <c r="R119" s="88">
        <v>32.044911610129</v>
      </c>
      <c r="S119" s="88">
        <v>-22.907662082514737</v>
      </c>
      <c r="T119" s="88">
        <v>8.141126908899421</v>
      </c>
      <c r="U119" s="93">
        <v>22.275419545903258</v>
      </c>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300"/>
      <c r="AT119" s="106"/>
      <c r="AU119" s="300"/>
      <c r="AV119" s="106"/>
      <c r="AW119" s="300"/>
      <c r="AX119" s="106"/>
      <c r="AY119" s="106"/>
      <c r="AZ119" s="106"/>
      <c r="BA119" s="300"/>
      <c r="BB119" s="300"/>
      <c r="BC119" s="106"/>
      <c r="BD119" s="106"/>
      <c r="BE119" s="378"/>
      <c r="BF119" s="106"/>
      <c r="BG119" s="106"/>
      <c r="BH119" s="106"/>
      <c r="BI119" s="106"/>
      <c r="BJ119" s="106"/>
      <c r="BK119" s="106"/>
      <c r="BL119" s="106"/>
      <c r="BM119" s="106"/>
      <c r="BN119" s="106"/>
      <c r="BO119" s="106"/>
      <c r="BP119" s="106"/>
      <c r="BQ119" s="106"/>
      <c r="BR119" s="106"/>
      <c r="BS119" s="106"/>
      <c r="BT119" s="106"/>
      <c r="BU119" s="106"/>
      <c r="BV119" s="106"/>
      <c r="BW119" s="106"/>
    </row>
    <row r="120" spans="1:75" ht="12.75">
      <c r="A120" s="185" t="s">
        <v>205</v>
      </c>
      <c r="B120" s="96">
        <v>1063.9860869565218</v>
      </c>
      <c r="C120" s="96">
        <v>888.4753820033956</v>
      </c>
      <c r="D120" s="96">
        <v>1026.292372881356</v>
      </c>
      <c r="E120" s="96">
        <v>1127.3896011396012</v>
      </c>
      <c r="F120" s="97">
        <v>4100.415357766144</v>
      </c>
      <c r="G120" s="96">
        <v>1048.128591954023</v>
      </c>
      <c r="H120" s="96">
        <v>1082.432942954288</v>
      </c>
      <c r="I120" s="96">
        <v>1035.9847573204972</v>
      </c>
      <c r="J120" s="96">
        <v>1348.3597662771285</v>
      </c>
      <c r="K120" s="97">
        <v>4494.79457364341</v>
      </c>
      <c r="L120" s="96">
        <v>1492.4327897752312</v>
      </c>
      <c r="M120" s="96">
        <v>1603.922101449275</v>
      </c>
      <c r="N120" s="96">
        <v>1542.2607189259418</v>
      </c>
      <c r="O120" s="96">
        <v>2081.1659807956107</v>
      </c>
      <c r="P120" s="97">
        <v>6702.486631016043</v>
      </c>
      <c r="Q120" s="96">
        <v>2272.870192307692</v>
      </c>
      <c r="R120" s="96">
        <v>2026.1681796464404</v>
      </c>
      <c r="S120" s="96">
        <v>2221.76326129666</v>
      </c>
      <c r="T120" s="96">
        <v>3194.549763033175</v>
      </c>
      <c r="U120" s="97">
        <v>9653.65251727542</v>
      </c>
      <c r="V120" s="108"/>
      <c r="W120" s="108"/>
      <c r="X120" s="108"/>
      <c r="Y120" s="108"/>
      <c r="Z120" s="108"/>
      <c r="AA120" s="108"/>
      <c r="AB120" s="108"/>
      <c r="AC120" s="106"/>
      <c r="AD120" s="106"/>
      <c r="AE120" s="106"/>
      <c r="AF120" s="106"/>
      <c r="AG120" s="106"/>
      <c r="AH120" s="106"/>
      <c r="AI120" s="106"/>
      <c r="AJ120" s="106"/>
      <c r="AK120" s="106"/>
      <c r="AL120" s="106"/>
      <c r="AM120" s="106"/>
      <c r="AN120" s="106"/>
      <c r="AO120" s="106"/>
      <c r="AP120" s="106"/>
      <c r="AQ120" s="106"/>
      <c r="AR120" s="106"/>
      <c r="AS120" s="300"/>
      <c r="AT120" s="106"/>
      <c r="AU120" s="300"/>
      <c r="AV120" s="106"/>
      <c r="AW120" s="300"/>
      <c r="AX120" s="106"/>
      <c r="AY120" s="106"/>
      <c r="AZ120" s="106"/>
      <c r="BA120" s="300"/>
      <c r="BB120" s="300"/>
      <c r="BC120" s="106"/>
      <c r="BD120" s="106"/>
      <c r="BE120" s="378"/>
      <c r="BF120" s="106"/>
      <c r="BG120" s="106"/>
      <c r="BH120" s="106"/>
      <c r="BI120" s="106"/>
      <c r="BJ120" s="106"/>
      <c r="BK120" s="106"/>
      <c r="BL120" s="106"/>
      <c r="BM120" s="106"/>
      <c r="BN120" s="106"/>
      <c r="BO120" s="106"/>
      <c r="BP120" s="106"/>
      <c r="BQ120" s="106"/>
      <c r="BR120" s="106"/>
      <c r="BS120" s="106"/>
      <c r="BT120" s="106"/>
      <c r="BU120" s="106"/>
      <c r="BV120" s="106"/>
      <c r="BW120" s="106"/>
    </row>
    <row r="121" spans="1:75" ht="12.75">
      <c r="A121" s="125"/>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BE121" s="378"/>
      <c r="BF121" s="106"/>
      <c r="BG121" s="106"/>
      <c r="BH121" s="106"/>
      <c r="BI121" s="106"/>
      <c r="BJ121" s="106"/>
      <c r="BK121" s="106"/>
      <c r="BL121" s="106"/>
      <c r="BM121" s="106"/>
      <c r="BN121" s="106"/>
      <c r="BO121" s="106"/>
      <c r="BP121" s="106"/>
      <c r="BQ121" s="106"/>
      <c r="BR121" s="106"/>
      <c r="BS121" s="106"/>
      <c r="BT121" s="106"/>
      <c r="BU121" s="106"/>
      <c r="BV121" s="106"/>
      <c r="BW121" s="106"/>
    </row>
    <row r="122" spans="1:75" ht="12.75">
      <c r="A122" s="125"/>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BE122" s="378"/>
      <c r="BF122" s="106"/>
      <c r="BG122" s="106"/>
      <c r="BH122" s="106"/>
      <c r="BI122" s="106"/>
      <c r="BJ122" s="106"/>
      <c r="BK122" s="106"/>
      <c r="BL122" s="106"/>
      <c r="BM122" s="106"/>
      <c r="BN122" s="106"/>
      <c r="BO122" s="106"/>
      <c r="BP122" s="106"/>
      <c r="BQ122" s="106"/>
      <c r="BR122" s="106"/>
      <c r="BS122" s="106"/>
      <c r="BT122" s="106"/>
      <c r="BU122" s="106"/>
      <c r="BV122" s="106"/>
      <c r="BW122" s="106"/>
    </row>
    <row r="123" spans="1:75" ht="25.5">
      <c r="A123" s="180" t="s">
        <v>391</v>
      </c>
      <c r="B123" s="90" t="s">
        <v>2</v>
      </c>
      <c r="C123" s="90" t="s">
        <v>3</v>
      </c>
      <c r="D123" s="90" t="s">
        <v>4</v>
      </c>
      <c r="E123" s="90" t="s">
        <v>5</v>
      </c>
      <c r="F123" s="90" t="s">
        <v>6</v>
      </c>
      <c r="G123" s="90" t="s">
        <v>12</v>
      </c>
      <c r="H123" s="90" t="s">
        <v>13</v>
      </c>
      <c r="I123" s="90" t="s">
        <v>14</v>
      </c>
      <c r="J123" s="90" t="s">
        <v>15</v>
      </c>
      <c r="K123" s="90" t="s">
        <v>16</v>
      </c>
      <c r="L123" s="90" t="s">
        <v>17</v>
      </c>
      <c r="M123" s="90" t="s">
        <v>18</v>
      </c>
      <c r="N123" s="90" t="s">
        <v>19</v>
      </c>
      <c r="O123" s="90" t="s">
        <v>20</v>
      </c>
      <c r="P123" s="90" t="s">
        <v>21</v>
      </c>
      <c r="Q123" s="90" t="s">
        <v>22</v>
      </c>
      <c r="R123" s="90" t="s">
        <v>23</v>
      </c>
      <c r="S123" s="90" t="s">
        <v>24</v>
      </c>
      <c r="T123" s="90" t="s">
        <v>25</v>
      </c>
      <c r="U123" s="90" t="s">
        <v>26</v>
      </c>
      <c r="V123" s="181" t="s">
        <v>27</v>
      </c>
      <c r="W123" s="181" t="s">
        <v>28</v>
      </c>
      <c r="X123" s="181" t="s">
        <v>29</v>
      </c>
      <c r="Y123" s="181" t="s">
        <v>30</v>
      </c>
      <c r="Z123" s="181" t="s">
        <v>31</v>
      </c>
      <c r="AA123" s="181" t="s">
        <v>32</v>
      </c>
      <c r="AB123" s="181" t="s">
        <v>33</v>
      </c>
      <c r="AC123" s="181" t="s">
        <v>34</v>
      </c>
      <c r="AD123" s="181" t="s">
        <v>271</v>
      </c>
      <c r="AE123" s="181" t="s">
        <v>272</v>
      </c>
      <c r="AF123" s="181" t="s">
        <v>274</v>
      </c>
      <c r="AG123" s="181" t="s">
        <v>276</v>
      </c>
      <c r="AH123" s="181" t="s">
        <v>278</v>
      </c>
      <c r="AI123" s="188" t="s">
        <v>280</v>
      </c>
      <c r="AJ123" s="188" t="s">
        <v>281</v>
      </c>
      <c r="AK123" s="188" t="s">
        <v>289</v>
      </c>
      <c r="AL123" s="188" t="s">
        <v>290</v>
      </c>
      <c r="AM123" s="188" t="s">
        <v>291</v>
      </c>
      <c r="AN123" s="188" t="s">
        <v>292</v>
      </c>
      <c r="AO123" s="188" t="s">
        <v>293</v>
      </c>
      <c r="AP123" s="188" t="s">
        <v>329</v>
      </c>
      <c r="AQ123" s="188" t="s">
        <v>330</v>
      </c>
      <c r="AR123" s="188" t="s">
        <v>331</v>
      </c>
      <c r="AS123" s="306" t="s">
        <v>490</v>
      </c>
      <c r="AT123" s="188" t="s">
        <v>332</v>
      </c>
      <c r="AU123" s="317" t="s">
        <v>477</v>
      </c>
      <c r="AV123" s="188" t="s">
        <v>333</v>
      </c>
      <c r="AW123" s="306" t="s">
        <v>463</v>
      </c>
      <c r="AX123" s="188" t="s">
        <v>448</v>
      </c>
      <c r="AY123" s="188" t="s">
        <v>451</v>
      </c>
      <c r="AZ123" s="188" t="s">
        <v>453</v>
      </c>
      <c r="BA123" s="306"/>
      <c r="BB123" s="317" t="s">
        <v>480</v>
      </c>
      <c r="BC123" s="188" t="s">
        <v>454</v>
      </c>
      <c r="BD123" s="188" t="s">
        <v>457</v>
      </c>
      <c r="BE123" s="387"/>
      <c r="BF123" s="226"/>
      <c r="BG123" s="226"/>
      <c r="BH123" s="226"/>
      <c r="BI123" s="226"/>
      <c r="BJ123" s="226"/>
      <c r="BK123" s="226"/>
      <c r="BL123" s="226"/>
      <c r="BM123" s="226"/>
      <c r="BN123" s="226"/>
      <c r="BO123" s="226"/>
      <c r="BP123" s="226"/>
      <c r="BQ123" s="226"/>
      <c r="BR123" s="226"/>
      <c r="BS123" s="226"/>
      <c r="BT123" s="226"/>
      <c r="BU123" s="226"/>
      <c r="BV123" s="226"/>
      <c r="BW123" s="226"/>
    </row>
    <row r="124" spans="1:75" ht="12.75">
      <c r="A124" s="125"/>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7"/>
      <c r="AJ124" s="127"/>
      <c r="AK124" s="127"/>
      <c r="AL124" s="127"/>
      <c r="AM124" s="127"/>
      <c r="AN124" s="127"/>
      <c r="AO124" s="127"/>
      <c r="AP124" s="127"/>
      <c r="AQ124" s="127"/>
      <c r="AR124" s="127"/>
      <c r="AS124" s="303"/>
      <c r="AT124" s="127"/>
      <c r="AU124" s="303"/>
      <c r="AV124" s="127"/>
      <c r="AW124" s="303"/>
      <c r="AX124" s="127"/>
      <c r="AY124" s="127"/>
      <c r="AZ124" s="127"/>
      <c r="BA124" s="303"/>
      <c r="BB124" s="303"/>
      <c r="BC124" s="127"/>
      <c r="BD124" s="127"/>
      <c r="BE124" s="388"/>
      <c r="BF124" s="329"/>
      <c r="BG124" s="329"/>
      <c r="BH124" s="329"/>
      <c r="BI124" s="329"/>
      <c r="BJ124" s="329"/>
      <c r="BK124" s="329"/>
      <c r="BL124" s="329"/>
      <c r="BM124" s="329"/>
      <c r="BN124" s="329"/>
      <c r="BO124" s="329"/>
      <c r="BP124" s="329"/>
      <c r="BQ124" s="329"/>
      <c r="BR124" s="329"/>
      <c r="BS124" s="329"/>
      <c r="BT124" s="329"/>
      <c r="BU124" s="329"/>
      <c r="BV124" s="329"/>
      <c r="BW124" s="329"/>
    </row>
    <row r="125" spans="1:75" ht="12.75">
      <c r="A125" s="183" t="s">
        <v>192</v>
      </c>
      <c r="B125" s="88">
        <v>78.15652173913044</v>
      </c>
      <c r="C125" s="88">
        <v>58.74702886247878</v>
      </c>
      <c r="D125" s="88">
        <v>46.16172316384181</v>
      </c>
      <c r="E125" s="88">
        <v>50.997150997150996</v>
      </c>
      <c r="F125" s="93">
        <v>234.42931937172776</v>
      </c>
      <c r="G125" s="88">
        <v>59.72701149425288</v>
      </c>
      <c r="H125" s="88">
        <v>45.50812240272006</v>
      </c>
      <c r="I125" s="88">
        <v>42.46690734055355</v>
      </c>
      <c r="J125" s="88">
        <v>50.475792988313856</v>
      </c>
      <c r="K125" s="93">
        <v>199.0503875968992</v>
      </c>
      <c r="L125" s="88">
        <v>79.16703393565447</v>
      </c>
      <c r="M125" s="88">
        <v>50.692934782608695</v>
      </c>
      <c r="N125" s="88">
        <v>35.53053269813772</v>
      </c>
      <c r="O125" s="88">
        <v>28.047553726566072</v>
      </c>
      <c r="P125" s="93">
        <v>193.8235294117647</v>
      </c>
      <c r="Q125" s="88">
        <v>57.49519230769231</v>
      </c>
      <c r="R125" s="88">
        <v>61.3999044433827</v>
      </c>
      <c r="S125" s="88">
        <v>92.90275049115914</v>
      </c>
      <c r="T125" s="88">
        <v>54.98683517640863</v>
      </c>
      <c r="U125" s="93">
        <v>267.3593287265548</v>
      </c>
      <c r="V125" s="88">
        <v>90.87700534759358</v>
      </c>
      <c r="W125" s="88">
        <v>121.65405950579928</v>
      </c>
      <c r="X125" s="88">
        <v>163.19085487077535</v>
      </c>
      <c r="Y125" s="88">
        <v>148.356940509915</v>
      </c>
      <c r="Z125" s="204">
        <v>527.6614922383576</v>
      </c>
      <c r="AA125" s="88">
        <v>180.79395085066162</v>
      </c>
      <c r="AB125" s="88">
        <v>153.17924528301887</v>
      </c>
      <c r="AC125" s="88">
        <v>161.46691346598797</v>
      </c>
      <c r="AD125" s="88">
        <f>AE125-AC125-AB125-AA125</f>
        <v>76.55989040033151</v>
      </c>
      <c r="AE125" s="204">
        <v>572</v>
      </c>
      <c r="AF125" s="88">
        <v>88.51108819343982</v>
      </c>
      <c r="AG125" s="88">
        <v>127.76894719196817</v>
      </c>
      <c r="AH125" s="88">
        <v>109.88046031868484</v>
      </c>
      <c r="AI125" s="88">
        <v>104.01164137556617</v>
      </c>
      <c r="AJ125" s="204">
        <v>429.0750816104461</v>
      </c>
      <c r="AK125" s="88">
        <v>515</v>
      </c>
      <c r="AL125" s="88">
        <v>193</v>
      </c>
      <c r="AM125" s="88">
        <v>209</v>
      </c>
      <c r="AN125" s="88">
        <v>193</v>
      </c>
      <c r="AO125" s="204">
        <v>1113</v>
      </c>
      <c r="AP125" s="88">
        <v>203</v>
      </c>
      <c r="AQ125" s="88">
        <v>72</v>
      </c>
      <c r="AR125" s="88">
        <v>97</v>
      </c>
      <c r="AS125" s="100">
        <v>378</v>
      </c>
      <c r="AT125" s="88">
        <v>159</v>
      </c>
      <c r="AU125" s="100">
        <v>159</v>
      </c>
      <c r="AV125" s="204">
        <v>538</v>
      </c>
      <c r="AW125" s="309">
        <v>537</v>
      </c>
      <c r="AX125" s="88">
        <v>121</v>
      </c>
      <c r="AY125" s="88">
        <v>-29</v>
      </c>
      <c r="AZ125" s="88">
        <v>177</v>
      </c>
      <c r="BA125" s="100"/>
      <c r="BB125" s="100">
        <v>267</v>
      </c>
      <c r="BC125" s="88">
        <v>151</v>
      </c>
      <c r="BD125" s="204">
        <v>417</v>
      </c>
      <c r="BE125" s="378"/>
      <c r="BF125" s="106"/>
      <c r="BG125" s="106"/>
      <c r="BH125" s="106"/>
      <c r="BI125" s="106"/>
      <c r="BJ125" s="106"/>
      <c r="BK125" s="106"/>
      <c r="BL125" s="106"/>
      <c r="BM125" s="106"/>
      <c r="BN125" s="106"/>
      <c r="BO125" s="106"/>
      <c r="BP125" s="106"/>
      <c r="BQ125" s="106"/>
      <c r="BR125" s="106"/>
      <c r="BS125" s="106"/>
      <c r="BT125" s="106"/>
      <c r="BU125" s="106"/>
      <c r="BV125" s="106"/>
      <c r="BW125" s="106"/>
    </row>
    <row r="126" spans="1:75" ht="12.75">
      <c r="A126" s="183" t="s">
        <v>193</v>
      </c>
      <c r="B126" s="88">
        <v>55.25565217391304</v>
      </c>
      <c r="C126" s="88">
        <v>65.61969439728354</v>
      </c>
      <c r="D126" s="88">
        <v>63.788841807909606</v>
      </c>
      <c r="E126" s="88">
        <v>60.04273504273504</v>
      </c>
      <c r="F126" s="93">
        <v>244.80279232111693</v>
      </c>
      <c r="G126" s="88">
        <v>12.295258620689657</v>
      </c>
      <c r="H126" s="88">
        <v>79.63732527389497</v>
      </c>
      <c r="I126" s="88">
        <v>46.23345367027677</v>
      </c>
      <c r="J126" s="88">
        <v>5.513355592654424</v>
      </c>
      <c r="K126" s="93">
        <v>144.7674418604651</v>
      </c>
      <c r="L126" s="88">
        <v>59.422653151167914</v>
      </c>
      <c r="M126" s="88">
        <v>55.17210144927536</v>
      </c>
      <c r="N126" s="88">
        <v>92.69813772195755</v>
      </c>
      <c r="O126" s="88">
        <v>94.03292181069959</v>
      </c>
      <c r="P126" s="93">
        <v>301.39928698752226</v>
      </c>
      <c r="Q126" s="88">
        <v>113.625</v>
      </c>
      <c r="R126" s="88">
        <v>153.75059722885808</v>
      </c>
      <c r="S126" s="88">
        <v>290.0147347740668</v>
      </c>
      <c r="T126" s="88">
        <v>231.91679831490256</v>
      </c>
      <c r="U126" s="93">
        <v>784.3139190523199</v>
      </c>
      <c r="V126" s="88">
        <v>201.5133689839572</v>
      </c>
      <c r="W126" s="88">
        <v>253.04589006555722</v>
      </c>
      <c r="X126" s="88">
        <v>251.97813121272367</v>
      </c>
      <c r="Y126" s="88">
        <v>181.43059490084985</v>
      </c>
      <c r="Z126" s="204">
        <v>886.2643965948923</v>
      </c>
      <c r="AA126" s="88">
        <v>114.53213610586012</v>
      </c>
      <c r="AB126" s="88">
        <v>325.8443396226415</v>
      </c>
      <c r="AC126" s="88">
        <v>271.6196205460435</v>
      </c>
      <c r="AD126" s="88">
        <f aca="true" t="shared" si="5" ref="AD126:AD131">AE126-AC126-AB126-AA126</f>
        <v>91.00390372545489</v>
      </c>
      <c r="AE126" s="204">
        <v>803</v>
      </c>
      <c r="AF126" s="88">
        <v>147.20004531091072</v>
      </c>
      <c r="AG126" s="88">
        <v>317.71248530656374</v>
      </c>
      <c r="AH126" s="88">
        <v>257.6883703128035</v>
      </c>
      <c r="AI126" s="88">
        <v>216.89204807153143</v>
      </c>
      <c r="AJ126" s="204">
        <v>935.4461371055495</v>
      </c>
      <c r="AK126" s="88">
        <v>232</v>
      </c>
      <c r="AL126" s="88">
        <v>435</v>
      </c>
      <c r="AM126" s="88">
        <v>29</v>
      </c>
      <c r="AN126" s="88">
        <v>-207</v>
      </c>
      <c r="AO126" s="204">
        <v>421</v>
      </c>
      <c r="AP126" s="88">
        <v>21</v>
      </c>
      <c r="AQ126" s="88">
        <v>196</v>
      </c>
      <c r="AR126" s="88">
        <v>29</v>
      </c>
      <c r="AS126" s="100">
        <v>258</v>
      </c>
      <c r="AT126" s="88">
        <v>-14</v>
      </c>
      <c r="AU126" s="100">
        <v>-45</v>
      </c>
      <c r="AV126" s="204">
        <v>241</v>
      </c>
      <c r="AW126" s="309">
        <v>213</v>
      </c>
      <c r="AX126" s="88">
        <v>47</v>
      </c>
      <c r="AY126" s="88">
        <v>99</v>
      </c>
      <c r="AZ126" s="88">
        <v>127</v>
      </c>
      <c r="BA126" s="100"/>
      <c r="BB126" s="100">
        <v>278</v>
      </c>
      <c r="BC126" s="88">
        <v>35</v>
      </c>
      <c r="BD126" s="204">
        <v>315</v>
      </c>
      <c r="BE126" s="378"/>
      <c r="BF126" s="106"/>
      <c r="BG126" s="106"/>
      <c r="BH126" s="106"/>
      <c r="BI126" s="106"/>
      <c r="BJ126" s="106"/>
      <c r="BK126" s="106"/>
      <c r="BL126" s="106"/>
      <c r="BM126" s="106"/>
      <c r="BN126" s="106"/>
      <c r="BO126" s="106"/>
      <c r="BP126" s="106"/>
      <c r="BQ126" s="106"/>
      <c r="BR126" s="106"/>
      <c r="BS126" s="106"/>
      <c r="BT126" s="106"/>
      <c r="BU126" s="106"/>
      <c r="BV126" s="106"/>
      <c r="BW126" s="106"/>
    </row>
    <row r="127" spans="1:75" ht="12.75">
      <c r="A127" s="183" t="s">
        <v>204</v>
      </c>
      <c r="B127" s="88">
        <v>-144.14260869565217</v>
      </c>
      <c r="C127" s="88">
        <v>-132.14261460101866</v>
      </c>
      <c r="D127" s="88">
        <v>-87.22457627118645</v>
      </c>
      <c r="E127" s="88">
        <v>-60.936609686609685</v>
      </c>
      <c r="F127" s="93">
        <v>-426.4223385689354</v>
      </c>
      <c r="G127" s="88">
        <v>-23.954741379310345</v>
      </c>
      <c r="H127" s="88">
        <v>10.906686815262562</v>
      </c>
      <c r="I127" s="88">
        <v>18.90092258323305</v>
      </c>
      <c r="J127" s="88">
        <v>-3.0676126878130217</v>
      </c>
      <c r="K127" s="93">
        <v>0.7558139534883721</v>
      </c>
      <c r="L127" s="88">
        <v>-10.237990304098721</v>
      </c>
      <c r="M127" s="88">
        <v>-43.713768115942024</v>
      </c>
      <c r="N127" s="88">
        <v>67.92983975747076</v>
      </c>
      <c r="O127" s="88">
        <v>17.45313214449017</v>
      </c>
      <c r="P127" s="93">
        <v>33.5427807486631</v>
      </c>
      <c r="Q127" s="88">
        <v>100.625</v>
      </c>
      <c r="R127" s="88">
        <v>62.44624940277114</v>
      </c>
      <c r="S127" s="88">
        <v>63.29567779960708</v>
      </c>
      <c r="T127" s="88">
        <v>94.5444971037388</v>
      </c>
      <c r="U127" s="93">
        <v>320.04442250740374</v>
      </c>
      <c r="V127" s="88">
        <v>162.94652406417111</v>
      </c>
      <c r="W127" s="88">
        <v>60.46394351991931</v>
      </c>
      <c r="X127" s="88">
        <v>48.87673956262426</v>
      </c>
      <c r="Y127" s="88">
        <v>-8.876298394711991</v>
      </c>
      <c r="Z127" s="204">
        <v>252.45368052078118</v>
      </c>
      <c r="AA127" s="88">
        <v>407.2448015122873</v>
      </c>
      <c r="AB127" s="88">
        <v>45.679245283018865</v>
      </c>
      <c r="AC127" s="88">
        <v>25.298472929199445</v>
      </c>
      <c r="AD127" s="88">
        <f t="shared" si="5"/>
        <v>42.77748027549438</v>
      </c>
      <c r="AE127" s="204">
        <v>521</v>
      </c>
      <c r="AF127" s="88">
        <v>66.53907240069948</v>
      </c>
      <c r="AG127" s="88">
        <v>45.16261537246899</v>
      </c>
      <c r="AH127" s="88">
        <v>46.39154671810975</v>
      </c>
      <c r="AI127" s="88">
        <v>52.20360504689993</v>
      </c>
      <c r="AJ127" s="204">
        <v>210.78890097932535</v>
      </c>
      <c r="AK127" s="88">
        <v>65</v>
      </c>
      <c r="AL127" s="88">
        <v>54</v>
      </c>
      <c r="AM127" s="88">
        <v>51</v>
      </c>
      <c r="AN127" s="88">
        <v>54</v>
      </c>
      <c r="AO127" s="204">
        <v>224</v>
      </c>
      <c r="AP127" s="88">
        <v>80</v>
      </c>
      <c r="AQ127" s="88">
        <v>55</v>
      </c>
      <c r="AR127" s="88">
        <v>88</v>
      </c>
      <c r="AS127" s="100">
        <v>222</v>
      </c>
      <c r="AT127" s="88">
        <v>88</v>
      </c>
      <c r="AU127" s="100">
        <v>84</v>
      </c>
      <c r="AV127" s="204">
        <v>309</v>
      </c>
      <c r="AW127" s="309">
        <v>306</v>
      </c>
      <c r="AX127" s="88">
        <v>130</v>
      </c>
      <c r="AY127" s="88">
        <v>96</v>
      </c>
      <c r="AZ127" s="88">
        <v>25</v>
      </c>
      <c r="BA127" s="100"/>
      <c r="BB127" s="100">
        <v>245</v>
      </c>
      <c r="BC127" s="88">
        <v>78</v>
      </c>
      <c r="BD127" s="204">
        <v>323</v>
      </c>
      <c r="BE127" s="378"/>
      <c r="BF127" s="106"/>
      <c r="BG127" s="106"/>
      <c r="BH127" s="106"/>
      <c r="BI127" s="106"/>
      <c r="BJ127" s="106"/>
      <c r="BK127" s="106"/>
      <c r="BL127" s="106"/>
      <c r="BM127" s="106"/>
      <c r="BN127" s="106"/>
      <c r="BO127" s="106"/>
      <c r="BP127" s="106"/>
      <c r="BQ127" s="106"/>
      <c r="BR127" s="106"/>
      <c r="BS127" s="106"/>
      <c r="BT127" s="106"/>
      <c r="BU127" s="106"/>
      <c r="BV127" s="106"/>
      <c r="BW127" s="106"/>
    </row>
    <row r="128" spans="1:75" ht="12.75">
      <c r="A128" s="183" t="s">
        <v>62</v>
      </c>
      <c r="B128" s="88">
        <v>10.128695652173914</v>
      </c>
      <c r="C128" s="88">
        <v>-6.302207130730051</v>
      </c>
      <c r="D128" s="88">
        <v>5.918079096045198</v>
      </c>
      <c r="E128" s="88">
        <v>8.023504273504273</v>
      </c>
      <c r="F128" s="93">
        <v>17.399650959860384</v>
      </c>
      <c r="G128" s="88">
        <v>0.8548850574712644</v>
      </c>
      <c r="H128" s="88">
        <v>11.12202493388742</v>
      </c>
      <c r="I128" s="88">
        <v>13.309265944645006</v>
      </c>
      <c r="J128" s="88">
        <v>-14.156928213689483</v>
      </c>
      <c r="K128" s="93">
        <v>12.046511627906977</v>
      </c>
      <c r="L128" s="88">
        <v>5.583957690612604</v>
      </c>
      <c r="M128" s="88">
        <v>16.09601449275362</v>
      </c>
      <c r="N128" s="88">
        <v>-20.58033780857514</v>
      </c>
      <c r="O128" s="88">
        <v>5.569272976680384</v>
      </c>
      <c r="P128" s="93">
        <v>5.735294117647059</v>
      </c>
      <c r="Q128" s="88">
        <v>18.057692307692307</v>
      </c>
      <c r="R128" s="88">
        <v>16.129956999522214</v>
      </c>
      <c r="S128" s="88">
        <v>19.150294695481335</v>
      </c>
      <c r="T128" s="88">
        <v>40.91627172195892</v>
      </c>
      <c r="U128" s="93">
        <v>92.79861796643632</v>
      </c>
      <c r="V128" s="88">
        <v>51.51336898395722</v>
      </c>
      <c r="W128" s="88">
        <v>18.577912254160363</v>
      </c>
      <c r="X128" s="88">
        <v>0.8250497017892645</v>
      </c>
      <c r="Y128" s="88">
        <v>26.58640226628895</v>
      </c>
      <c r="Z128" s="204">
        <v>95.7135703555333</v>
      </c>
      <c r="AA128" s="88">
        <v>17.263705103969755</v>
      </c>
      <c r="AB128" s="88">
        <v>18.485849056603772</v>
      </c>
      <c r="AC128" s="88">
        <v>25.279962980101807</v>
      </c>
      <c r="AD128" s="88">
        <f t="shared" si="5"/>
        <v>49.970482859324676</v>
      </c>
      <c r="AE128" s="204">
        <v>111</v>
      </c>
      <c r="AF128" s="88">
        <v>65.57338361585786</v>
      </c>
      <c r="AG128" s="88">
        <v>66.15888896149664</v>
      </c>
      <c r="AH128" s="88">
        <v>65.15881282369492</v>
      </c>
      <c r="AI128" s="88">
        <v>23.699725814175743</v>
      </c>
      <c r="AJ128" s="204">
        <v>222.480957562568</v>
      </c>
      <c r="AK128" s="88">
        <v>15</v>
      </c>
      <c r="AL128" s="88">
        <v>-87</v>
      </c>
      <c r="AM128" s="88">
        <v>-1</v>
      </c>
      <c r="AN128" s="88">
        <v>19</v>
      </c>
      <c r="AO128" s="204">
        <v>-44</v>
      </c>
      <c r="AP128" s="88">
        <v>-16</v>
      </c>
      <c r="AQ128" s="88">
        <v>-44</v>
      </c>
      <c r="AR128" s="88">
        <v>7</v>
      </c>
      <c r="AS128" s="100">
        <v>-56</v>
      </c>
      <c r="AT128" s="88">
        <v>-20</v>
      </c>
      <c r="AU128" s="100">
        <v>-19</v>
      </c>
      <c r="AV128" s="204">
        <v>-75</v>
      </c>
      <c r="AW128" s="309">
        <v>-75</v>
      </c>
      <c r="AX128" s="88">
        <v>-11</v>
      </c>
      <c r="AY128" s="88">
        <v>7</v>
      </c>
      <c r="AZ128" s="88">
        <v>28</v>
      </c>
      <c r="BA128" s="100"/>
      <c r="BB128" s="100">
        <v>26</v>
      </c>
      <c r="BC128" s="88">
        <v>-21</v>
      </c>
      <c r="BD128" s="204">
        <v>6</v>
      </c>
      <c r="BE128" s="378"/>
      <c r="BF128" s="106"/>
      <c r="BG128" s="106"/>
      <c r="BH128" s="106"/>
      <c r="BI128" s="106"/>
      <c r="BJ128" s="106"/>
      <c r="BK128" s="106"/>
      <c r="BL128" s="106"/>
      <c r="BM128" s="106"/>
      <c r="BN128" s="106"/>
      <c r="BO128" s="106"/>
      <c r="BP128" s="106"/>
      <c r="BQ128" s="106"/>
      <c r="BR128" s="106"/>
      <c r="BS128" s="106"/>
      <c r="BT128" s="106"/>
      <c r="BU128" s="106"/>
      <c r="BV128" s="106"/>
      <c r="BW128" s="106"/>
    </row>
    <row r="129" spans="1:75" ht="12.75">
      <c r="A129" s="183" t="s">
        <v>195</v>
      </c>
      <c r="B129" s="88">
        <v>-9.509565217391305</v>
      </c>
      <c r="C129" s="88">
        <v>-19.154499151103565</v>
      </c>
      <c r="D129" s="88">
        <v>-26.50776836158192</v>
      </c>
      <c r="E129" s="88">
        <v>-31.96225071225071</v>
      </c>
      <c r="F129" s="93">
        <v>-86.760907504363</v>
      </c>
      <c r="G129" s="88">
        <v>-17.88793103448276</v>
      </c>
      <c r="H129" s="88">
        <v>-24.32187381941821</v>
      </c>
      <c r="I129" s="88">
        <v>-31.881267549137583</v>
      </c>
      <c r="J129" s="88">
        <v>-65.87228714524207</v>
      </c>
      <c r="K129" s="93">
        <v>-136.23643410852713</v>
      </c>
      <c r="L129" s="88">
        <v>-24.649625385632437</v>
      </c>
      <c r="M129" s="88">
        <v>-52.53170289855072</v>
      </c>
      <c r="N129" s="88">
        <v>-38.50584668687743</v>
      </c>
      <c r="O129" s="88">
        <v>-42.44170096021948</v>
      </c>
      <c r="P129" s="93">
        <v>-157.59803921568627</v>
      </c>
      <c r="Q129" s="88">
        <v>-27.028846153846153</v>
      </c>
      <c r="R129" s="88">
        <v>-49.93311036789297</v>
      </c>
      <c r="S129" s="88">
        <v>-41.488212180746565</v>
      </c>
      <c r="T129" s="88">
        <v>-144.58662453923117</v>
      </c>
      <c r="U129" s="93">
        <v>-256.5498519249753</v>
      </c>
      <c r="V129" s="88">
        <v>-67.62032085561498</v>
      </c>
      <c r="W129" s="88">
        <v>-40.31265758951084</v>
      </c>
      <c r="X129" s="88">
        <v>-63.17594433399603</v>
      </c>
      <c r="Y129" s="88">
        <v>-39.83947119924457</v>
      </c>
      <c r="Z129" s="204">
        <v>-209.25388082123186</v>
      </c>
      <c r="AA129" s="88">
        <v>-54.31947069943289</v>
      </c>
      <c r="AB129" s="88">
        <v>-65.68867924528301</v>
      </c>
      <c r="AC129" s="88">
        <v>-46.21471540953262</v>
      </c>
      <c r="AD129" s="88">
        <f t="shared" si="5"/>
        <v>-47.77713464575147</v>
      </c>
      <c r="AE129" s="204">
        <v>-214</v>
      </c>
      <c r="AF129" s="88">
        <v>29.463891688043816</v>
      </c>
      <c r="AG129" s="88">
        <v>-49.60831032319641</v>
      </c>
      <c r="AH129" s="88">
        <v>47.72310034700268</v>
      </c>
      <c r="AI129" s="88">
        <v>121.33640465820746</v>
      </c>
      <c r="AJ129" s="204">
        <v>143.8846572361262</v>
      </c>
      <c r="AK129" s="88">
        <v>-53</v>
      </c>
      <c r="AL129" s="88">
        <v>-32</v>
      </c>
      <c r="AM129" s="88">
        <v>-91</v>
      </c>
      <c r="AN129" s="88">
        <v>-49</v>
      </c>
      <c r="AO129" s="204">
        <v>-223</v>
      </c>
      <c r="AP129" s="88">
        <v>38</v>
      </c>
      <c r="AQ129" s="88">
        <v>51</v>
      </c>
      <c r="AR129" s="88">
        <v>-43</v>
      </c>
      <c r="AS129" s="100">
        <v>-25</v>
      </c>
      <c r="AT129" s="88">
        <v>-94</v>
      </c>
      <c r="AU129" s="100">
        <v>-41</v>
      </c>
      <c r="AV129" s="204">
        <v>-114</v>
      </c>
      <c r="AW129" s="309">
        <v>-66</v>
      </c>
      <c r="AX129" s="88">
        <v>-24</v>
      </c>
      <c r="AY129" s="88">
        <v>9</v>
      </c>
      <c r="AZ129" s="88">
        <v>-69</v>
      </c>
      <c r="BA129" s="100"/>
      <c r="BB129" s="100">
        <v>-86</v>
      </c>
      <c r="BC129" s="88">
        <v>-35</v>
      </c>
      <c r="BD129" s="204">
        <v>-120</v>
      </c>
      <c r="BE129" s="378"/>
      <c r="BF129" s="106"/>
      <c r="BG129" s="106"/>
      <c r="BH129" s="106"/>
      <c r="BI129" s="106"/>
      <c r="BJ129" s="106"/>
      <c r="BK129" s="106"/>
      <c r="BL129" s="106"/>
      <c r="BM129" s="106"/>
      <c r="BN129" s="106"/>
      <c r="BO129" s="106"/>
      <c r="BP129" s="106"/>
      <c r="BQ129" s="106"/>
      <c r="BR129" s="106"/>
      <c r="BS129" s="106"/>
      <c r="BT129" s="106"/>
      <c r="BU129" s="106"/>
      <c r="BV129" s="106"/>
      <c r="BW129" s="106"/>
    </row>
    <row r="130" spans="1:75" ht="14.25">
      <c r="A130" s="183" t="s">
        <v>319</v>
      </c>
      <c r="B130" s="88">
        <v>20.716521739130435</v>
      </c>
      <c r="C130" s="88">
        <v>-13.745331069609508</v>
      </c>
      <c r="D130" s="88">
        <v>-27.450564971751415</v>
      </c>
      <c r="E130" s="88">
        <v>26.463675213675213</v>
      </c>
      <c r="F130" s="93">
        <v>5.462478184991274</v>
      </c>
      <c r="G130" s="88">
        <v>12.737068965517242</v>
      </c>
      <c r="H130" s="88">
        <v>-13.388741972043825</v>
      </c>
      <c r="I130" s="88">
        <v>-21.556357801845166</v>
      </c>
      <c r="J130" s="88">
        <v>23.714524207011685</v>
      </c>
      <c r="K130" s="93">
        <v>1.2015503875968991</v>
      </c>
      <c r="L130" s="88">
        <v>14.764213309828119</v>
      </c>
      <c r="M130" s="88">
        <v>-24.393115942028984</v>
      </c>
      <c r="N130" s="88">
        <v>-13.083585967951494</v>
      </c>
      <c r="O130" s="88">
        <v>16.236854138088706</v>
      </c>
      <c r="P130" s="93">
        <v>-6.711229946524064</v>
      </c>
      <c r="Q130" s="88">
        <v>34.44230769230769</v>
      </c>
      <c r="R130" s="88">
        <v>-15.967510750119445</v>
      </c>
      <c r="S130" s="88">
        <v>-22.87819253438114</v>
      </c>
      <c r="T130" s="88">
        <v>25.660874144286467</v>
      </c>
      <c r="U130" s="93">
        <v>19.925962487660414</v>
      </c>
      <c r="V130" s="88">
        <v>54.99465240641711</v>
      </c>
      <c r="W130" s="88">
        <v>-22.985375693393845</v>
      </c>
      <c r="X130" s="88">
        <v>-54.47316103379722</v>
      </c>
      <c r="Y130" s="88">
        <v>-2.039660056657224</v>
      </c>
      <c r="Z130" s="204">
        <v>-28.372558838257387</v>
      </c>
      <c r="AA130" s="88">
        <v>67.7882797731569</v>
      </c>
      <c r="AB130" s="88">
        <v>5.169811320754717</v>
      </c>
      <c r="AC130" s="88">
        <v>1.0226746876446091</v>
      </c>
      <c r="AD130" s="88">
        <f t="shared" si="5"/>
        <v>9.01923421844377</v>
      </c>
      <c r="AE130" s="204">
        <v>83</v>
      </c>
      <c r="AF130" s="88">
        <v>-7.377654641182425</v>
      </c>
      <c r="AG130" s="88">
        <v>-10.308149830807526</v>
      </c>
      <c r="AH130" s="88">
        <v>-3.143339714107895</v>
      </c>
      <c r="AI130" s="88">
        <v>14.452590415466148</v>
      </c>
      <c r="AJ130" s="204">
        <v>-7.480957562568008</v>
      </c>
      <c r="AK130" s="88">
        <v>-385</v>
      </c>
      <c r="AL130" s="88">
        <v>-1</v>
      </c>
      <c r="AM130" s="88">
        <v>37</v>
      </c>
      <c r="AN130" s="88">
        <v>22</v>
      </c>
      <c r="AO130" s="204">
        <v>-330</v>
      </c>
      <c r="AP130" s="88">
        <v>-28</v>
      </c>
      <c r="AQ130" s="88">
        <v>44</v>
      </c>
      <c r="AR130" s="88">
        <v>14</v>
      </c>
      <c r="AS130" s="100">
        <v>29</v>
      </c>
      <c r="AT130" s="88">
        <v>-2</v>
      </c>
      <c r="AU130" s="100">
        <v>-2</v>
      </c>
      <c r="AV130" s="204">
        <v>27</v>
      </c>
      <c r="AW130" s="309">
        <v>27</v>
      </c>
      <c r="AX130" s="88">
        <v>-5</v>
      </c>
      <c r="AY130" s="88">
        <v>4</v>
      </c>
      <c r="AZ130" s="88">
        <v>10</v>
      </c>
      <c r="BA130" s="100"/>
      <c r="BB130" s="100">
        <v>11</v>
      </c>
      <c r="BC130" s="88">
        <v>-9</v>
      </c>
      <c r="BD130" s="204">
        <v>2</v>
      </c>
      <c r="BE130" s="378"/>
      <c r="BF130" s="106"/>
      <c r="BG130" s="106"/>
      <c r="BH130" s="106"/>
      <c r="BI130" s="106"/>
      <c r="BJ130" s="106"/>
      <c r="BK130" s="106"/>
      <c r="BL130" s="106"/>
      <c r="BM130" s="106"/>
      <c r="BN130" s="106"/>
      <c r="BO130" s="106"/>
      <c r="BP130" s="106"/>
      <c r="BQ130" s="106"/>
      <c r="BR130" s="106"/>
      <c r="BS130" s="106"/>
      <c r="BT130" s="106"/>
      <c r="BU130" s="106"/>
      <c r="BV130" s="106"/>
      <c r="BW130" s="106"/>
    </row>
    <row r="131" spans="1:75" s="116" customFormat="1" ht="12.75">
      <c r="A131" s="185" t="s">
        <v>205</v>
      </c>
      <c r="B131" s="96">
        <v>10.605217391304361</v>
      </c>
      <c r="C131" s="96">
        <v>-46.977928692699464</v>
      </c>
      <c r="D131" s="96">
        <v>-25.31426553672317</v>
      </c>
      <c r="E131" s="96">
        <v>52.62820512820512</v>
      </c>
      <c r="F131" s="97">
        <v>-11.08900523560207</v>
      </c>
      <c r="G131" s="96">
        <v>43.77155172413792</v>
      </c>
      <c r="H131" s="96">
        <v>109.463543634303</v>
      </c>
      <c r="I131" s="96">
        <v>67.47292418772562</v>
      </c>
      <c r="J131" s="96">
        <v>-3.393155258764615</v>
      </c>
      <c r="K131" s="97">
        <v>221.58527131782944</v>
      </c>
      <c r="L131" s="96">
        <v>124.05024239753195</v>
      </c>
      <c r="M131" s="96">
        <v>1.3224637681159521</v>
      </c>
      <c r="N131" s="96">
        <v>123.98873971416195</v>
      </c>
      <c r="O131" s="96">
        <v>118.89803383630544</v>
      </c>
      <c r="P131" s="97">
        <v>370.1916221033868</v>
      </c>
      <c r="Q131" s="96">
        <v>297.2163461538462</v>
      </c>
      <c r="R131" s="96">
        <v>227.82608695652175</v>
      </c>
      <c r="S131" s="96">
        <v>400.9970530451867</v>
      </c>
      <c r="T131" s="96">
        <v>303.4386519220643</v>
      </c>
      <c r="U131" s="97">
        <v>1227.8923988153997</v>
      </c>
      <c r="V131" s="96">
        <v>494.22459893048125</v>
      </c>
      <c r="W131" s="96">
        <v>390.44377206253154</v>
      </c>
      <c r="X131" s="96">
        <v>347.2216699801193</v>
      </c>
      <c r="Y131" s="96">
        <v>305.61850802644005</v>
      </c>
      <c r="Z131" s="205">
        <v>1524.466700050075</v>
      </c>
      <c r="AA131" s="96">
        <v>734</v>
      </c>
      <c r="AB131" s="96">
        <v>482</v>
      </c>
      <c r="AC131" s="96">
        <v>438.4729291994447</v>
      </c>
      <c r="AD131" s="96">
        <f t="shared" si="5"/>
        <v>221.5270708005553</v>
      </c>
      <c r="AE131" s="205">
        <v>1876</v>
      </c>
      <c r="AF131" s="96">
        <v>389.9098265677693</v>
      </c>
      <c r="AG131" s="96">
        <v>496.8864766784936</v>
      </c>
      <c r="AH131" s="96">
        <v>523.6989508061878</v>
      </c>
      <c r="AI131" s="96">
        <v>532.5960153818469</v>
      </c>
      <c r="AJ131" s="205">
        <v>1934.194776931447</v>
      </c>
      <c r="AK131" s="96">
        <v>389</v>
      </c>
      <c r="AL131" s="96">
        <v>562</v>
      </c>
      <c r="AM131" s="96">
        <v>234</v>
      </c>
      <c r="AN131" s="96">
        <v>32</v>
      </c>
      <c r="AO131" s="205">
        <v>1161</v>
      </c>
      <c r="AP131" s="96">
        <v>298</v>
      </c>
      <c r="AQ131" s="96">
        <v>374</v>
      </c>
      <c r="AR131" s="96">
        <v>192</v>
      </c>
      <c r="AS131" s="294">
        <v>806</v>
      </c>
      <c r="AT131" s="96">
        <v>117</v>
      </c>
      <c r="AU131" s="294">
        <v>136</v>
      </c>
      <c r="AV131" s="205">
        <v>926</v>
      </c>
      <c r="AW131" s="310">
        <v>942</v>
      </c>
      <c r="AX131" s="96">
        <v>258</v>
      </c>
      <c r="AY131" s="96">
        <v>186</v>
      </c>
      <c r="AZ131" s="96">
        <v>298</v>
      </c>
      <c r="BA131" s="294"/>
      <c r="BB131" s="294">
        <v>741</v>
      </c>
      <c r="BC131" s="96">
        <v>199</v>
      </c>
      <c r="BD131" s="205">
        <v>943</v>
      </c>
      <c r="BE131" s="386"/>
      <c r="BF131" s="108"/>
      <c r="BG131" s="108"/>
      <c r="BH131" s="108"/>
      <c r="BI131" s="108"/>
      <c r="BJ131" s="108"/>
      <c r="BK131" s="108"/>
      <c r="BL131" s="108"/>
      <c r="BM131" s="108"/>
      <c r="BN131" s="108"/>
      <c r="BO131" s="108"/>
      <c r="BP131" s="108"/>
      <c r="BQ131" s="108"/>
      <c r="BR131" s="108"/>
      <c r="BS131" s="108"/>
      <c r="BT131" s="108"/>
      <c r="BU131" s="108"/>
      <c r="BV131" s="108"/>
      <c r="BW131" s="108"/>
    </row>
    <row r="132" spans="1:75" ht="12.75">
      <c r="A132" s="128" t="s">
        <v>206</v>
      </c>
      <c r="BE132" s="378"/>
      <c r="BF132" s="106"/>
      <c r="BG132" s="106"/>
      <c r="BH132" s="106"/>
      <c r="BI132" s="106"/>
      <c r="BJ132" s="106"/>
      <c r="BK132" s="106"/>
      <c r="BL132" s="106"/>
      <c r="BM132" s="106"/>
      <c r="BN132" s="106"/>
      <c r="BO132" s="106"/>
      <c r="BP132" s="106"/>
      <c r="BQ132" s="106"/>
      <c r="BR132" s="106"/>
      <c r="BS132" s="106"/>
      <c r="BT132" s="106"/>
      <c r="BU132" s="106"/>
      <c r="BV132" s="106"/>
      <c r="BW132" s="106"/>
    </row>
    <row r="133" spans="1:75" ht="12.75">
      <c r="A133" s="128"/>
      <c r="BE133" s="378"/>
      <c r="BF133" s="106"/>
      <c r="BG133" s="106"/>
      <c r="BH133" s="106"/>
      <c r="BI133" s="106"/>
      <c r="BJ133" s="106"/>
      <c r="BK133" s="106"/>
      <c r="BL133" s="106"/>
      <c r="BM133" s="106"/>
      <c r="BN133" s="106"/>
      <c r="BO133" s="106"/>
      <c r="BP133" s="106"/>
      <c r="BQ133" s="106"/>
      <c r="BR133" s="106"/>
      <c r="BS133" s="106"/>
      <c r="BT133" s="106"/>
      <c r="BU133" s="106"/>
      <c r="BV133" s="106"/>
      <c r="BW133" s="106"/>
    </row>
    <row r="134" spans="57:75" ht="12.75">
      <c r="BE134" s="378"/>
      <c r="BF134" s="106"/>
      <c r="BG134" s="106"/>
      <c r="BH134" s="106"/>
      <c r="BI134" s="106"/>
      <c r="BJ134" s="106"/>
      <c r="BK134" s="106"/>
      <c r="BL134" s="106"/>
      <c r="BM134" s="106"/>
      <c r="BN134" s="106"/>
      <c r="BO134" s="106"/>
      <c r="BP134" s="106"/>
      <c r="BQ134" s="106"/>
      <c r="BR134" s="106"/>
      <c r="BS134" s="106"/>
      <c r="BT134" s="106"/>
      <c r="BU134" s="106"/>
      <c r="BV134" s="106"/>
      <c r="BW134" s="106"/>
    </row>
    <row r="135" spans="1:75" ht="25.5">
      <c r="A135" s="180" t="s">
        <v>387</v>
      </c>
      <c r="B135" s="90" t="s">
        <v>2</v>
      </c>
      <c r="C135" s="90" t="s">
        <v>3</v>
      </c>
      <c r="D135" s="90" t="s">
        <v>4</v>
      </c>
      <c r="E135" s="90" t="s">
        <v>5</v>
      </c>
      <c r="F135" s="90" t="s">
        <v>6</v>
      </c>
      <c r="G135" s="90" t="s">
        <v>12</v>
      </c>
      <c r="H135" s="90" t="s">
        <v>13</v>
      </c>
      <c r="I135" s="90" t="s">
        <v>14</v>
      </c>
      <c r="J135" s="90" t="s">
        <v>15</v>
      </c>
      <c r="K135" s="90" t="s">
        <v>16</v>
      </c>
      <c r="L135" s="90" t="s">
        <v>17</v>
      </c>
      <c r="M135" s="90" t="s">
        <v>18</v>
      </c>
      <c r="N135" s="90" t="s">
        <v>19</v>
      </c>
      <c r="O135" s="90" t="s">
        <v>20</v>
      </c>
      <c r="P135" s="90" t="s">
        <v>21</v>
      </c>
      <c r="Q135" s="90" t="s">
        <v>22</v>
      </c>
      <c r="R135" s="90" t="s">
        <v>23</v>
      </c>
      <c r="S135" s="90" t="s">
        <v>24</v>
      </c>
      <c r="T135" s="90" t="s">
        <v>25</v>
      </c>
      <c r="U135" s="90" t="s">
        <v>26</v>
      </c>
      <c r="V135" s="181" t="s">
        <v>27</v>
      </c>
      <c r="W135" s="181" t="s">
        <v>28</v>
      </c>
      <c r="X135" s="181" t="s">
        <v>29</v>
      </c>
      <c r="Y135" s="181" t="s">
        <v>30</v>
      </c>
      <c r="Z135" s="181" t="s">
        <v>31</v>
      </c>
      <c r="AA135" s="181" t="s">
        <v>32</v>
      </c>
      <c r="AB135" s="181" t="s">
        <v>33</v>
      </c>
      <c r="AC135" s="181" t="s">
        <v>34</v>
      </c>
      <c r="AD135" s="181" t="s">
        <v>271</v>
      </c>
      <c r="AE135" s="181" t="s">
        <v>272</v>
      </c>
      <c r="AF135" s="181" t="s">
        <v>274</v>
      </c>
      <c r="AG135" s="181" t="s">
        <v>276</v>
      </c>
      <c r="AH135" s="181" t="s">
        <v>278</v>
      </c>
      <c r="AI135" s="188" t="s">
        <v>280</v>
      </c>
      <c r="AJ135" s="188" t="s">
        <v>281</v>
      </c>
      <c r="AK135" s="188" t="s">
        <v>289</v>
      </c>
      <c r="AL135" s="188" t="s">
        <v>290</v>
      </c>
      <c r="AM135" s="188" t="s">
        <v>291</v>
      </c>
      <c r="AN135" s="188" t="s">
        <v>292</v>
      </c>
      <c r="AO135" s="188" t="s">
        <v>293</v>
      </c>
      <c r="AP135" s="188" t="s">
        <v>329</v>
      </c>
      <c r="AQ135" s="188" t="s">
        <v>330</v>
      </c>
      <c r="AR135" s="188" t="s">
        <v>331</v>
      </c>
      <c r="AS135" s="306" t="s">
        <v>490</v>
      </c>
      <c r="AT135" s="188" t="s">
        <v>332</v>
      </c>
      <c r="AU135" s="317" t="s">
        <v>477</v>
      </c>
      <c r="AV135" s="188" t="s">
        <v>333</v>
      </c>
      <c r="AW135" s="306" t="s">
        <v>463</v>
      </c>
      <c r="AX135" s="188" t="s">
        <v>448</v>
      </c>
      <c r="AY135" s="188" t="s">
        <v>451</v>
      </c>
      <c r="AZ135" s="188" t="s">
        <v>453</v>
      </c>
      <c r="BA135" s="306"/>
      <c r="BB135" s="317" t="s">
        <v>480</v>
      </c>
      <c r="BC135" s="188" t="s">
        <v>454</v>
      </c>
      <c r="BD135" s="188" t="s">
        <v>457</v>
      </c>
      <c r="BE135" s="387"/>
      <c r="BF135" s="226"/>
      <c r="BG135" s="226"/>
      <c r="BH135" s="226"/>
      <c r="BI135" s="226"/>
      <c r="BJ135" s="226"/>
      <c r="BK135" s="226"/>
      <c r="BL135" s="226"/>
      <c r="BM135" s="226"/>
      <c r="BN135" s="226"/>
      <c r="BO135" s="226"/>
      <c r="BP135" s="226"/>
      <c r="BQ135" s="226"/>
      <c r="BR135" s="226"/>
      <c r="BS135" s="226"/>
      <c r="BT135" s="226"/>
      <c r="BU135" s="226"/>
      <c r="BV135" s="226"/>
      <c r="BW135" s="226"/>
    </row>
    <row r="136" spans="1:75" ht="12.75">
      <c r="A136" s="125"/>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7"/>
      <c r="AJ136" s="127"/>
      <c r="AK136" s="127"/>
      <c r="AL136" s="127"/>
      <c r="AM136" s="127"/>
      <c r="AN136" s="127"/>
      <c r="AO136" s="127"/>
      <c r="AP136" s="127"/>
      <c r="AQ136" s="127"/>
      <c r="AR136" s="127"/>
      <c r="AS136" s="303"/>
      <c r="AT136" s="127"/>
      <c r="AU136" s="303"/>
      <c r="AV136" s="127"/>
      <c r="AW136" s="303"/>
      <c r="AX136" s="127"/>
      <c r="AY136" s="127"/>
      <c r="AZ136" s="127"/>
      <c r="BA136" s="303"/>
      <c r="BB136" s="303"/>
      <c r="BC136" s="127"/>
      <c r="BD136" s="127"/>
      <c r="BE136" s="388"/>
      <c r="BF136" s="329"/>
      <c r="BG136" s="329"/>
      <c r="BH136" s="329"/>
      <c r="BI136" s="329"/>
      <c r="BJ136" s="329"/>
      <c r="BK136" s="329"/>
      <c r="BL136" s="329"/>
      <c r="BM136" s="329"/>
      <c r="BN136" s="329"/>
      <c r="BO136" s="329"/>
      <c r="BP136" s="329"/>
      <c r="BQ136" s="329"/>
      <c r="BR136" s="329"/>
      <c r="BS136" s="329"/>
      <c r="BT136" s="329"/>
      <c r="BU136" s="329"/>
      <c r="BV136" s="329"/>
      <c r="BW136" s="329"/>
    </row>
    <row r="137" spans="1:75" ht="12.75">
      <c r="A137" s="183" t="s">
        <v>192</v>
      </c>
      <c r="B137" s="88">
        <v>13.502608695652174</v>
      </c>
      <c r="C137" s="88">
        <v>13.01867572156197</v>
      </c>
      <c r="D137" s="88">
        <v>17.28813559322034</v>
      </c>
      <c r="E137" s="88">
        <v>26.121794871794872</v>
      </c>
      <c r="F137" s="93">
        <v>69.62303664921465</v>
      </c>
      <c r="G137" s="88">
        <v>14.680316091954024</v>
      </c>
      <c r="H137" s="88">
        <v>17.208160181337362</v>
      </c>
      <c r="I137" s="88">
        <v>15.238668271159245</v>
      </c>
      <c r="J137" s="88">
        <v>22.26627712854758</v>
      </c>
      <c r="K137" s="93">
        <v>68.89922480620154</v>
      </c>
      <c r="L137" s="88">
        <v>25.795504627589246</v>
      </c>
      <c r="M137" s="88">
        <v>20.73369565217391</v>
      </c>
      <c r="N137" s="88">
        <v>21.3382416630576</v>
      </c>
      <c r="O137" s="88">
        <v>26.01737540009145</v>
      </c>
      <c r="P137" s="93">
        <v>93.79679144385027</v>
      </c>
      <c r="Q137" s="88">
        <v>26.89903846153846</v>
      </c>
      <c r="R137" s="88">
        <v>27.907310081223123</v>
      </c>
      <c r="S137" s="88">
        <v>28.49705304518664</v>
      </c>
      <c r="T137" s="88">
        <v>28.135860979462873</v>
      </c>
      <c r="U137" s="93">
        <v>111.45607107601185</v>
      </c>
      <c r="V137" s="88">
        <v>34.44919786096256</v>
      </c>
      <c r="W137" s="88">
        <v>32.602118003025716</v>
      </c>
      <c r="X137" s="88">
        <v>26.97813121272366</v>
      </c>
      <c r="Y137" s="88">
        <v>62.86591123701605</v>
      </c>
      <c r="Z137" s="204">
        <v>158.4877315973961</v>
      </c>
      <c r="AA137" s="88">
        <v>34.636105860113425</v>
      </c>
      <c r="AB137" s="88">
        <v>43.429245283018865</v>
      </c>
      <c r="AC137" s="88">
        <v>35.58537714021286</v>
      </c>
      <c r="AD137" s="88">
        <f aca="true" t="shared" si="6" ref="AD137:AD143">AE137-AC137-AB137-AA137</f>
        <v>58.34927171665483</v>
      </c>
      <c r="AE137" s="204">
        <v>172</v>
      </c>
      <c r="AF137" s="88">
        <v>51</v>
      </c>
      <c r="AG137" s="88">
        <v>36</v>
      </c>
      <c r="AH137" s="88">
        <v>76</v>
      </c>
      <c r="AI137" s="88">
        <v>57</v>
      </c>
      <c r="AJ137" s="204">
        <v>220</v>
      </c>
      <c r="AK137" s="88">
        <v>41</v>
      </c>
      <c r="AL137" s="88">
        <v>42</v>
      </c>
      <c r="AM137" s="88">
        <v>67</v>
      </c>
      <c r="AN137" s="88">
        <v>63</v>
      </c>
      <c r="AO137" s="204">
        <v>214</v>
      </c>
      <c r="AP137" s="88">
        <v>45</v>
      </c>
      <c r="AQ137" s="88">
        <v>61</v>
      </c>
      <c r="AR137" s="88">
        <v>50</v>
      </c>
      <c r="AS137" s="100">
        <v>161</v>
      </c>
      <c r="AT137" s="88">
        <v>12</v>
      </c>
      <c r="AU137" s="100">
        <v>13</v>
      </c>
      <c r="AV137" s="204">
        <v>173</v>
      </c>
      <c r="AW137" s="309">
        <v>174</v>
      </c>
      <c r="AX137" s="88">
        <v>58</v>
      </c>
      <c r="AY137" s="88">
        <v>47</v>
      </c>
      <c r="AZ137" s="88">
        <v>36</v>
      </c>
      <c r="BA137" s="100"/>
      <c r="BB137" s="100">
        <v>139</v>
      </c>
      <c r="BC137" s="88">
        <v>77</v>
      </c>
      <c r="BD137" s="204">
        <v>215</v>
      </c>
      <c r="BE137" s="378"/>
      <c r="BF137" s="106"/>
      <c r="BG137" s="106"/>
      <c r="BH137" s="106"/>
      <c r="BI137" s="106"/>
      <c r="BJ137" s="106"/>
      <c r="BK137" s="106"/>
      <c r="BL137" s="106"/>
      <c r="BM137" s="106"/>
      <c r="BN137" s="106"/>
      <c r="BO137" s="106"/>
      <c r="BP137" s="106"/>
      <c r="BQ137" s="106"/>
      <c r="BR137" s="106"/>
      <c r="BS137" s="106"/>
      <c r="BT137" s="106"/>
      <c r="BU137" s="106"/>
      <c r="BV137" s="106"/>
      <c r="BW137" s="106"/>
    </row>
    <row r="138" spans="1:75" ht="12.75">
      <c r="A138" s="183" t="s">
        <v>193</v>
      </c>
      <c r="B138" s="88">
        <v>22.024347826086956</v>
      </c>
      <c r="C138" s="88">
        <v>22.074702886247877</v>
      </c>
      <c r="D138" s="88">
        <v>23.029661016949152</v>
      </c>
      <c r="E138" s="88">
        <v>25.256410256410255</v>
      </c>
      <c r="F138" s="93">
        <v>92.3106457242583</v>
      </c>
      <c r="G138" s="88">
        <v>23.61350574712644</v>
      </c>
      <c r="H138" s="88">
        <v>25.391008689081982</v>
      </c>
      <c r="I138" s="88">
        <v>27.352587244283995</v>
      </c>
      <c r="J138" s="88">
        <v>29.507512520868115</v>
      </c>
      <c r="K138" s="93">
        <v>105.36434108527132</v>
      </c>
      <c r="L138" s="88">
        <v>28.364918466284706</v>
      </c>
      <c r="M138" s="88">
        <v>50.21286231884058</v>
      </c>
      <c r="N138" s="88">
        <v>49.27674317886531</v>
      </c>
      <c r="O138" s="88">
        <v>55.459533607681756</v>
      </c>
      <c r="P138" s="93">
        <v>182.84313725490196</v>
      </c>
      <c r="Q138" s="88">
        <v>56.54326923076923</v>
      </c>
      <c r="R138" s="88">
        <v>62.847587195413276</v>
      </c>
      <c r="S138" s="88">
        <v>57.95677799607073</v>
      </c>
      <c r="T138" s="88">
        <v>102.46445497630332</v>
      </c>
      <c r="U138" s="93">
        <v>277.26061204343534</v>
      </c>
      <c r="V138" s="88">
        <v>68.9572192513369</v>
      </c>
      <c r="W138" s="88">
        <v>73.07110438729198</v>
      </c>
      <c r="X138" s="88">
        <v>68.26043737574552</v>
      </c>
      <c r="Y138" s="88">
        <v>95.78847969782814</v>
      </c>
      <c r="Z138" s="204">
        <v>307.49624436654983</v>
      </c>
      <c r="AA138" s="88">
        <v>74.98109640831758</v>
      </c>
      <c r="AB138" s="88">
        <v>73</v>
      </c>
      <c r="AC138" s="88">
        <v>73.28088847755669</v>
      </c>
      <c r="AD138" s="88">
        <f t="shared" si="6"/>
        <v>73.73801511412573</v>
      </c>
      <c r="AE138" s="204">
        <v>295</v>
      </c>
      <c r="AF138" s="88">
        <v>81</v>
      </c>
      <c r="AG138" s="88">
        <v>87</v>
      </c>
      <c r="AH138" s="88">
        <v>86</v>
      </c>
      <c r="AI138" s="88">
        <v>91</v>
      </c>
      <c r="AJ138" s="204">
        <v>344</v>
      </c>
      <c r="AK138" s="88">
        <v>102</v>
      </c>
      <c r="AL138" s="88">
        <v>109</v>
      </c>
      <c r="AM138" s="88">
        <v>117</v>
      </c>
      <c r="AN138" s="88">
        <v>107</v>
      </c>
      <c r="AO138" s="204">
        <v>434</v>
      </c>
      <c r="AP138" s="88">
        <v>88</v>
      </c>
      <c r="AQ138" s="88">
        <v>104</v>
      </c>
      <c r="AR138" s="88">
        <v>104</v>
      </c>
      <c r="AS138" s="100">
        <v>291</v>
      </c>
      <c r="AT138" s="88">
        <v>116</v>
      </c>
      <c r="AU138" s="100">
        <v>143</v>
      </c>
      <c r="AV138" s="204">
        <v>409</v>
      </c>
      <c r="AW138" s="309">
        <v>434</v>
      </c>
      <c r="AX138" s="88">
        <v>105</v>
      </c>
      <c r="AY138" s="88">
        <v>97</v>
      </c>
      <c r="AZ138" s="88">
        <v>99</v>
      </c>
      <c r="BA138" s="100"/>
      <c r="BB138" s="100">
        <v>299</v>
      </c>
      <c r="BC138" s="88">
        <v>115</v>
      </c>
      <c r="BD138" s="204">
        <v>414</v>
      </c>
      <c r="BE138" s="378"/>
      <c r="BF138" s="106"/>
      <c r="BG138" s="106"/>
      <c r="BH138" s="106"/>
      <c r="BI138" s="106"/>
      <c r="BJ138" s="106"/>
      <c r="BK138" s="106"/>
      <c r="BL138" s="106"/>
      <c r="BM138" s="106"/>
      <c r="BN138" s="106"/>
      <c r="BO138" s="106"/>
      <c r="BP138" s="106"/>
      <c r="BQ138" s="106"/>
      <c r="BR138" s="106"/>
      <c r="BS138" s="106"/>
      <c r="BT138" s="106"/>
      <c r="BU138" s="106"/>
      <c r="BV138" s="106"/>
      <c r="BW138" s="106"/>
    </row>
    <row r="139" spans="1:75" ht="12.75">
      <c r="A139" s="183" t="s">
        <v>194</v>
      </c>
      <c r="B139" s="88">
        <v>9.544347826086957</v>
      </c>
      <c r="C139" s="88">
        <v>8.66893039049236</v>
      </c>
      <c r="D139" s="88">
        <v>10.211864406779661</v>
      </c>
      <c r="E139" s="88">
        <v>17.464387464387464</v>
      </c>
      <c r="F139" s="93">
        <v>45.69982547993019</v>
      </c>
      <c r="G139" s="88">
        <v>9.608477011494253</v>
      </c>
      <c r="H139" s="88">
        <v>10.173781639591992</v>
      </c>
      <c r="I139" s="88">
        <v>10.93461692739671</v>
      </c>
      <c r="J139" s="88">
        <v>13.25542570951586</v>
      </c>
      <c r="K139" s="93">
        <v>43.68217054263566</v>
      </c>
      <c r="L139" s="88">
        <v>13.177611282503305</v>
      </c>
      <c r="M139" s="88">
        <v>12.146739130434781</v>
      </c>
      <c r="N139" s="88">
        <v>11.000433087916846</v>
      </c>
      <c r="O139" s="88">
        <v>12.414266117969822</v>
      </c>
      <c r="P139" s="93">
        <v>48.694295900178254</v>
      </c>
      <c r="Q139" s="88">
        <v>11.028846153846153</v>
      </c>
      <c r="R139" s="88">
        <v>2.9001433349259433</v>
      </c>
      <c r="S139" s="88">
        <v>6.679764243614931</v>
      </c>
      <c r="T139" s="88">
        <v>12.285413375460768</v>
      </c>
      <c r="U139" s="93">
        <v>32.54689042448174</v>
      </c>
      <c r="V139" s="88">
        <v>8.197860962566844</v>
      </c>
      <c r="W139" s="88">
        <v>7.907211296016137</v>
      </c>
      <c r="X139" s="88">
        <v>8.190854870775349</v>
      </c>
      <c r="Y139" s="88">
        <v>9.896128423040604</v>
      </c>
      <c r="Z139" s="204">
        <v>34.2764146219329</v>
      </c>
      <c r="AA139" s="88">
        <v>9.305293005671079</v>
      </c>
      <c r="AB139" s="88">
        <v>6.311320754716981</v>
      </c>
      <c r="AC139" s="88">
        <v>7.561314206385933</v>
      </c>
      <c r="AD139" s="88">
        <f t="shared" si="6"/>
        <v>8.822072033226007</v>
      </c>
      <c r="AE139" s="204">
        <v>32</v>
      </c>
      <c r="AF139" s="88">
        <v>9</v>
      </c>
      <c r="AG139" s="88">
        <v>9</v>
      </c>
      <c r="AH139" s="88">
        <v>9</v>
      </c>
      <c r="AI139" s="88">
        <v>13</v>
      </c>
      <c r="AJ139" s="204">
        <v>40</v>
      </c>
      <c r="AK139" s="88">
        <v>12</v>
      </c>
      <c r="AL139" s="88">
        <v>14</v>
      </c>
      <c r="AM139" s="88">
        <v>16</v>
      </c>
      <c r="AN139" s="88">
        <v>15</v>
      </c>
      <c r="AO139" s="204">
        <v>58</v>
      </c>
      <c r="AP139" s="88">
        <v>11</v>
      </c>
      <c r="AQ139" s="88">
        <v>12</v>
      </c>
      <c r="AR139" s="88">
        <v>15</v>
      </c>
      <c r="AS139" s="100">
        <v>43</v>
      </c>
      <c r="AT139" s="88">
        <v>28</v>
      </c>
      <c r="AU139" s="100">
        <v>35</v>
      </c>
      <c r="AV139" s="204">
        <v>64</v>
      </c>
      <c r="AW139" s="309">
        <v>78</v>
      </c>
      <c r="AX139" s="88">
        <v>25</v>
      </c>
      <c r="AY139" s="88">
        <v>25</v>
      </c>
      <c r="AZ139" s="88">
        <v>22</v>
      </c>
      <c r="BA139" s="100"/>
      <c r="BB139" s="100">
        <v>72</v>
      </c>
      <c r="BC139" s="88">
        <v>23</v>
      </c>
      <c r="BD139" s="204">
        <v>95</v>
      </c>
      <c r="BE139" s="378"/>
      <c r="BF139" s="106"/>
      <c r="BG139" s="106"/>
      <c r="BH139" s="106"/>
      <c r="BI139" s="106"/>
      <c r="BJ139" s="106"/>
      <c r="BK139" s="106"/>
      <c r="BL139" s="106"/>
      <c r="BM139" s="106"/>
      <c r="BN139" s="106"/>
      <c r="BO139" s="106"/>
      <c r="BP139" s="106"/>
      <c r="BQ139" s="106"/>
      <c r="BR139" s="106"/>
      <c r="BS139" s="106"/>
      <c r="BT139" s="106"/>
      <c r="BU139" s="106"/>
      <c r="BV139" s="106"/>
      <c r="BW139" s="106"/>
    </row>
    <row r="140" spans="1:75" ht="12.75">
      <c r="A140" s="183" t="s">
        <v>62</v>
      </c>
      <c r="B140" s="88">
        <v>11.742608695652175</v>
      </c>
      <c r="C140" s="88">
        <v>7.500848896434635</v>
      </c>
      <c r="D140" s="88">
        <v>9.403248587570621</v>
      </c>
      <c r="E140" s="88">
        <v>8.18019943019943</v>
      </c>
      <c r="F140" s="93">
        <v>36.80628272251309</v>
      </c>
      <c r="G140" s="88">
        <v>8.283045977011495</v>
      </c>
      <c r="H140" s="88">
        <v>7.408386853041179</v>
      </c>
      <c r="I140" s="88">
        <v>9.265944645006016</v>
      </c>
      <c r="J140" s="88">
        <v>10.275459098497496</v>
      </c>
      <c r="K140" s="93">
        <v>35.03488372093023</v>
      </c>
      <c r="L140" s="88">
        <v>9.598942265315117</v>
      </c>
      <c r="M140" s="88">
        <v>12.721920289855072</v>
      </c>
      <c r="N140" s="88">
        <v>13.984408834993504</v>
      </c>
      <c r="O140" s="88">
        <v>22.857796067672613</v>
      </c>
      <c r="P140" s="93">
        <v>58.8903743315508</v>
      </c>
      <c r="Q140" s="88">
        <v>13.461538461538462</v>
      </c>
      <c r="R140" s="88">
        <v>14.089823220258003</v>
      </c>
      <c r="S140" s="88">
        <v>14.63163064833006</v>
      </c>
      <c r="T140" s="88">
        <v>18.767772511848342</v>
      </c>
      <c r="U140" s="93">
        <v>60.67127344521224</v>
      </c>
      <c r="V140" s="88">
        <v>17.9572192513369</v>
      </c>
      <c r="W140" s="88">
        <v>18.850226928895612</v>
      </c>
      <c r="X140" s="88">
        <v>19.637176938369784</v>
      </c>
      <c r="Y140" s="88">
        <v>14.022662889518413</v>
      </c>
      <c r="Z140" s="204">
        <v>70.19028542814222</v>
      </c>
      <c r="AA140" s="88">
        <v>20.831758034026464</v>
      </c>
      <c r="AB140" s="88">
        <v>21.35377358490566</v>
      </c>
      <c r="AC140" s="88">
        <v>21.309578898658028</v>
      </c>
      <c r="AD140" s="88">
        <f t="shared" si="6"/>
        <v>24.504889482409844</v>
      </c>
      <c r="AE140" s="204">
        <v>88</v>
      </c>
      <c r="AF140" s="88">
        <v>24</v>
      </c>
      <c r="AG140" s="88">
        <v>27</v>
      </c>
      <c r="AH140" s="88">
        <v>26</v>
      </c>
      <c r="AI140" s="88">
        <v>30</v>
      </c>
      <c r="AJ140" s="204">
        <v>106</v>
      </c>
      <c r="AK140" s="88">
        <v>28</v>
      </c>
      <c r="AL140" s="88">
        <v>35</v>
      </c>
      <c r="AM140" s="88">
        <v>29</v>
      </c>
      <c r="AN140" s="88">
        <v>24</v>
      </c>
      <c r="AO140" s="204">
        <v>115</v>
      </c>
      <c r="AP140" s="88">
        <v>21</v>
      </c>
      <c r="AQ140" s="88">
        <v>22</v>
      </c>
      <c r="AR140" s="88">
        <v>25</v>
      </c>
      <c r="AS140" s="100">
        <v>67</v>
      </c>
      <c r="AT140" s="88">
        <v>23</v>
      </c>
      <c r="AU140" s="100">
        <v>23</v>
      </c>
      <c r="AV140" s="204">
        <v>90</v>
      </c>
      <c r="AW140" s="309">
        <v>90</v>
      </c>
      <c r="AX140" s="88">
        <v>22</v>
      </c>
      <c r="AY140" s="88">
        <v>21</v>
      </c>
      <c r="AZ140" s="88">
        <v>21</v>
      </c>
      <c r="BA140" s="100"/>
      <c r="BB140" s="100">
        <v>63</v>
      </c>
      <c r="BC140" s="88">
        <v>23</v>
      </c>
      <c r="BD140" s="204">
        <v>86</v>
      </c>
      <c r="BE140" s="378"/>
      <c r="BF140" s="106"/>
      <c r="BG140" s="106"/>
      <c r="BH140" s="106"/>
      <c r="BI140" s="106"/>
      <c r="BJ140" s="106"/>
      <c r="BK140" s="106"/>
      <c r="BL140" s="106"/>
      <c r="BM140" s="106"/>
      <c r="BN140" s="106"/>
      <c r="BO140" s="106"/>
      <c r="BP140" s="106"/>
      <c r="BQ140" s="106"/>
      <c r="BR140" s="106"/>
      <c r="BS140" s="106"/>
      <c r="BT140" s="106"/>
      <c r="BU140" s="106"/>
      <c r="BV140" s="106"/>
      <c r="BW140" s="106"/>
    </row>
    <row r="141" spans="1:75" ht="12.75">
      <c r="A141" s="183" t="s">
        <v>195</v>
      </c>
      <c r="B141" s="88">
        <v>4.351304347826087</v>
      </c>
      <c r="C141" s="88">
        <v>4.573853989813243</v>
      </c>
      <c r="D141" s="88">
        <v>4.4809322033898304</v>
      </c>
      <c r="E141" s="88">
        <v>5.081908831908832</v>
      </c>
      <c r="F141" s="93">
        <v>18.478184991273995</v>
      </c>
      <c r="G141" s="88">
        <v>2.4568965517241383</v>
      </c>
      <c r="H141" s="88">
        <v>3.094068757083491</v>
      </c>
      <c r="I141" s="88">
        <v>3.493782591255515</v>
      </c>
      <c r="J141" s="88">
        <v>16.54841402337229</v>
      </c>
      <c r="K141" s="93">
        <v>24.569767441860463</v>
      </c>
      <c r="L141" s="88">
        <v>11.987659762009695</v>
      </c>
      <c r="M141" s="88">
        <v>7.975543478260869</v>
      </c>
      <c r="N141" s="88">
        <v>8.930272845387613</v>
      </c>
      <c r="O141" s="88">
        <v>12.286236854138089</v>
      </c>
      <c r="P141" s="93">
        <v>41.1319073083779</v>
      </c>
      <c r="Q141" s="88">
        <v>11.245192307692308</v>
      </c>
      <c r="R141" s="88">
        <v>11.619684663162923</v>
      </c>
      <c r="S141" s="88">
        <v>13.737721021611002</v>
      </c>
      <c r="T141" s="88">
        <v>17.646129541864138</v>
      </c>
      <c r="U141" s="93">
        <v>53.89437314906219</v>
      </c>
      <c r="V141" s="88">
        <v>14.219251336898395</v>
      </c>
      <c r="W141" s="88">
        <v>14.80080685829551</v>
      </c>
      <c r="X141" s="88">
        <v>8.648111332007952</v>
      </c>
      <c r="Y141" s="88">
        <v>10.609065155807365</v>
      </c>
      <c r="Z141" s="204">
        <v>47.97696544817226</v>
      </c>
      <c r="AA141" s="88">
        <v>9.7117202268431</v>
      </c>
      <c r="AB141" s="88">
        <v>10</v>
      </c>
      <c r="AC141" s="88">
        <v>11.897269782508099</v>
      </c>
      <c r="AD141" s="88">
        <f t="shared" si="6"/>
        <v>12.391009990648802</v>
      </c>
      <c r="AE141" s="204">
        <v>44</v>
      </c>
      <c r="AF141" s="88">
        <v>13</v>
      </c>
      <c r="AG141" s="88">
        <v>15</v>
      </c>
      <c r="AH141" s="88">
        <v>14</v>
      </c>
      <c r="AI141" s="88">
        <v>13</v>
      </c>
      <c r="AJ141" s="204">
        <v>55</v>
      </c>
      <c r="AK141" s="88">
        <v>15</v>
      </c>
      <c r="AL141" s="88">
        <v>16</v>
      </c>
      <c r="AM141" s="88">
        <v>17</v>
      </c>
      <c r="AN141" s="88">
        <v>16</v>
      </c>
      <c r="AO141" s="204">
        <v>64</v>
      </c>
      <c r="AP141" s="88">
        <v>12</v>
      </c>
      <c r="AQ141" s="88">
        <v>15</v>
      </c>
      <c r="AR141" s="88">
        <v>14</v>
      </c>
      <c r="AS141" s="100">
        <v>41</v>
      </c>
      <c r="AT141" s="88">
        <v>46</v>
      </c>
      <c r="AU141" s="100">
        <v>21</v>
      </c>
      <c r="AV141" s="204">
        <v>84</v>
      </c>
      <c r="AW141" s="309">
        <v>62</v>
      </c>
      <c r="AX141" s="88">
        <v>14</v>
      </c>
      <c r="AY141" s="88">
        <v>12</v>
      </c>
      <c r="AZ141" s="88">
        <v>12</v>
      </c>
      <c r="BA141" s="100"/>
      <c r="BB141" s="100">
        <v>40</v>
      </c>
      <c r="BC141" s="88">
        <v>16</v>
      </c>
      <c r="BD141" s="204">
        <v>56</v>
      </c>
      <c r="BE141" s="378"/>
      <c r="BF141" s="106"/>
      <c r="BG141" s="106"/>
      <c r="BH141" s="106"/>
      <c r="BI141" s="106"/>
      <c r="BJ141" s="106"/>
      <c r="BK141" s="106"/>
      <c r="BL141" s="106"/>
      <c r="BM141" s="106"/>
      <c r="BN141" s="106"/>
      <c r="BO141" s="106"/>
      <c r="BP141" s="106"/>
      <c r="BQ141" s="106"/>
      <c r="BR141" s="106"/>
      <c r="BS141" s="106"/>
      <c r="BT141" s="106"/>
      <c r="BU141" s="106"/>
      <c r="BV141" s="106"/>
      <c r="BW141" s="106"/>
    </row>
    <row r="142" spans="1:75" ht="12.75">
      <c r="A142" s="183" t="s">
        <v>450</v>
      </c>
      <c r="B142" s="88"/>
      <c r="C142" s="88"/>
      <c r="D142" s="88"/>
      <c r="E142" s="88"/>
      <c r="F142" s="93"/>
      <c r="G142" s="88"/>
      <c r="H142" s="88"/>
      <c r="I142" s="88"/>
      <c r="J142" s="88"/>
      <c r="K142" s="93"/>
      <c r="L142" s="88"/>
      <c r="M142" s="88"/>
      <c r="N142" s="88"/>
      <c r="O142" s="88"/>
      <c r="P142" s="93"/>
      <c r="Q142" s="88"/>
      <c r="R142" s="88"/>
      <c r="S142" s="88"/>
      <c r="T142" s="88"/>
      <c r="U142" s="93"/>
      <c r="V142" s="88"/>
      <c r="W142" s="88"/>
      <c r="X142" s="88"/>
      <c r="Y142" s="88"/>
      <c r="Z142" s="204"/>
      <c r="AA142" s="88"/>
      <c r="AB142" s="88"/>
      <c r="AC142" s="88"/>
      <c r="AD142" s="88"/>
      <c r="AE142" s="204"/>
      <c r="AF142" s="88"/>
      <c r="AG142" s="88"/>
      <c r="AH142" s="88"/>
      <c r="AI142" s="88"/>
      <c r="AJ142" s="204"/>
      <c r="AK142" s="88"/>
      <c r="AL142" s="88"/>
      <c r="AM142" s="88"/>
      <c r="AN142" s="88"/>
      <c r="AO142" s="204"/>
      <c r="AP142" s="88"/>
      <c r="AQ142" s="88"/>
      <c r="AR142" s="88"/>
      <c r="AS142" s="100">
        <v>-7</v>
      </c>
      <c r="AT142" s="88"/>
      <c r="AU142" s="100">
        <v>-8</v>
      </c>
      <c r="AV142" s="204"/>
      <c r="AW142" s="309">
        <v>-15</v>
      </c>
      <c r="AX142" s="88">
        <v>-4</v>
      </c>
      <c r="AY142" s="88">
        <v>-6</v>
      </c>
      <c r="AZ142" s="88">
        <v>-3</v>
      </c>
      <c r="BA142" s="100"/>
      <c r="BB142" s="100">
        <v>-13</v>
      </c>
      <c r="BC142" s="88">
        <v>-3</v>
      </c>
      <c r="BD142" s="204">
        <v>-17</v>
      </c>
      <c r="BE142" s="378"/>
      <c r="BF142" s="106"/>
      <c r="BG142" s="106"/>
      <c r="BH142" s="106"/>
      <c r="BI142" s="106"/>
      <c r="BJ142" s="106"/>
      <c r="BK142" s="106"/>
      <c r="BL142" s="106"/>
      <c r="BM142" s="106"/>
      <c r="BN142" s="106"/>
      <c r="BO142" s="106"/>
      <c r="BP142" s="106"/>
      <c r="BQ142" s="106"/>
      <c r="BR142" s="106"/>
      <c r="BS142" s="106"/>
      <c r="BT142" s="106"/>
      <c r="BU142" s="106"/>
      <c r="BV142" s="106"/>
      <c r="BW142" s="106"/>
    </row>
    <row r="143" spans="1:75" s="116" customFormat="1" ht="12.75">
      <c r="A143" s="185" t="s">
        <v>205</v>
      </c>
      <c r="B143" s="96">
        <v>61.165217391304346</v>
      </c>
      <c r="C143" s="96">
        <v>55.83701188455008</v>
      </c>
      <c r="D143" s="96">
        <v>64.4138418079096</v>
      </c>
      <c r="E143" s="96">
        <v>82.10470085470084</v>
      </c>
      <c r="F143" s="97">
        <v>262.91797556719024</v>
      </c>
      <c r="G143" s="96">
        <v>58.64224137931035</v>
      </c>
      <c r="H143" s="96">
        <v>63.27540612013601</v>
      </c>
      <c r="I143" s="96">
        <v>66.28559967910148</v>
      </c>
      <c r="J143" s="96">
        <v>91.85308848080133</v>
      </c>
      <c r="K143" s="97">
        <v>277.5503875968992</v>
      </c>
      <c r="L143" s="96">
        <v>88.92463640370207</v>
      </c>
      <c r="M143" s="96">
        <v>103.79076086956522</v>
      </c>
      <c r="N143" s="96">
        <v>104.53009961022087</v>
      </c>
      <c r="O143" s="96">
        <v>129.0352080475537</v>
      </c>
      <c r="P143" s="97">
        <v>425.35650623885914</v>
      </c>
      <c r="Q143" s="96">
        <v>119.17788461538461</v>
      </c>
      <c r="R143" s="96">
        <v>119.36454849498327</v>
      </c>
      <c r="S143" s="96">
        <v>121.50294695481335</v>
      </c>
      <c r="T143" s="96">
        <v>179.2996313849394</v>
      </c>
      <c r="U143" s="97">
        <v>535.8292201382034</v>
      </c>
      <c r="V143" s="96">
        <v>143.7807486631016</v>
      </c>
      <c r="W143" s="96">
        <v>147.231467473525</v>
      </c>
      <c r="X143" s="96">
        <v>131.71471172962225</v>
      </c>
      <c r="Y143" s="96">
        <v>193.18224740321057</v>
      </c>
      <c r="Z143" s="205">
        <v>618.4276414621933</v>
      </c>
      <c r="AA143" s="96">
        <v>150</v>
      </c>
      <c r="AB143" s="96">
        <v>153</v>
      </c>
      <c r="AC143" s="96">
        <v>149.6344285053216</v>
      </c>
      <c r="AD143" s="96">
        <f t="shared" si="6"/>
        <v>178.36557149467842</v>
      </c>
      <c r="AE143" s="205">
        <v>631</v>
      </c>
      <c r="AF143" s="96">
        <v>178</v>
      </c>
      <c r="AG143" s="96">
        <v>174</v>
      </c>
      <c r="AH143" s="96">
        <v>211</v>
      </c>
      <c r="AI143" s="96">
        <v>204</v>
      </c>
      <c r="AJ143" s="205">
        <v>765</v>
      </c>
      <c r="AK143" s="96">
        <v>198</v>
      </c>
      <c r="AL143" s="96">
        <v>216</v>
      </c>
      <c r="AM143" s="96">
        <v>246</v>
      </c>
      <c r="AN143" s="96">
        <v>225</v>
      </c>
      <c r="AO143" s="205">
        <v>885</v>
      </c>
      <c r="AP143" s="96">
        <v>177</v>
      </c>
      <c r="AQ143" s="96">
        <v>214</v>
      </c>
      <c r="AR143" s="96">
        <v>208</v>
      </c>
      <c r="AS143" s="294">
        <v>596</v>
      </c>
      <c r="AT143" s="96">
        <v>225</v>
      </c>
      <c r="AU143" s="294">
        <v>227</v>
      </c>
      <c r="AV143" s="205">
        <v>820</v>
      </c>
      <c r="AW143" s="310">
        <v>823</v>
      </c>
      <c r="AX143" s="96">
        <v>220</v>
      </c>
      <c r="AY143" s="96">
        <v>196</v>
      </c>
      <c r="AZ143" s="96">
        <v>187</v>
      </c>
      <c r="BA143" s="294"/>
      <c r="BB143" s="294">
        <v>600</v>
      </c>
      <c r="BC143" s="96">
        <v>251</v>
      </c>
      <c r="BD143" s="205">
        <v>849</v>
      </c>
      <c r="BE143" s="386"/>
      <c r="BF143" s="108"/>
      <c r="BG143" s="108"/>
      <c r="BH143" s="108"/>
      <c r="BI143" s="108"/>
      <c r="BJ143" s="108"/>
      <c r="BK143" s="108"/>
      <c r="BL143" s="108"/>
      <c r="BM143" s="108"/>
      <c r="BN143" s="108"/>
      <c r="BO143" s="108"/>
      <c r="BP143" s="108"/>
      <c r="BQ143" s="108"/>
      <c r="BR143" s="108"/>
      <c r="BS143" s="108"/>
      <c r="BT143" s="108"/>
      <c r="BU143" s="108"/>
      <c r="BV143" s="108"/>
      <c r="BW143" s="108"/>
    </row>
    <row r="144" spans="1:75" s="116" customFormat="1" ht="12.75">
      <c r="A144" s="125"/>
      <c r="AM144" s="91"/>
      <c r="AN144" s="91"/>
      <c r="AO144" s="91"/>
      <c r="AR144" s="91"/>
      <c r="AS144" s="290"/>
      <c r="AT144" s="91"/>
      <c r="AU144" s="290"/>
      <c r="AV144" s="91"/>
      <c r="AW144" s="290"/>
      <c r="BA144" s="302"/>
      <c r="BB144" s="302"/>
      <c r="BD144" s="91"/>
      <c r="BE144" s="386"/>
      <c r="BF144" s="108"/>
      <c r="BG144" s="108"/>
      <c r="BH144" s="108"/>
      <c r="BI144" s="108"/>
      <c r="BJ144" s="108"/>
      <c r="BK144" s="108"/>
      <c r="BL144" s="108"/>
      <c r="BM144" s="108"/>
      <c r="BN144" s="108"/>
      <c r="BO144" s="108"/>
      <c r="BP144" s="108"/>
      <c r="BQ144" s="108"/>
      <c r="BR144" s="108"/>
      <c r="BS144" s="108"/>
      <c r="BT144" s="108"/>
      <c r="BU144" s="108"/>
      <c r="BV144" s="108"/>
      <c r="BW144" s="108"/>
    </row>
    <row r="145" spans="57:75" ht="12.75">
      <c r="BE145" s="378"/>
      <c r="BF145" s="106"/>
      <c r="BG145" s="106"/>
      <c r="BH145" s="106"/>
      <c r="BI145" s="106"/>
      <c r="BJ145" s="106"/>
      <c r="BK145" s="106"/>
      <c r="BL145" s="106"/>
      <c r="BM145" s="106"/>
      <c r="BN145" s="106"/>
      <c r="BO145" s="106"/>
      <c r="BP145" s="106"/>
      <c r="BQ145" s="106"/>
      <c r="BR145" s="106"/>
      <c r="BS145" s="106"/>
      <c r="BT145" s="106"/>
      <c r="BU145" s="106"/>
      <c r="BV145" s="106"/>
      <c r="BW145" s="106"/>
    </row>
    <row r="146" spans="1:75" ht="25.5">
      <c r="A146" s="180" t="s">
        <v>388</v>
      </c>
      <c r="B146" s="90" t="s">
        <v>2</v>
      </c>
      <c r="C146" s="90" t="s">
        <v>3</v>
      </c>
      <c r="D146" s="90" t="s">
        <v>4</v>
      </c>
      <c r="E146" s="90" t="s">
        <v>5</v>
      </c>
      <c r="F146" s="90" t="s">
        <v>6</v>
      </c>
      <c r="G146" s="90" t="s">
        <v>12</v>
      </c>
      <c r="H146" s="90" t="s">
        <v>13</v>
      </c>
      <c r="I146" s="90" t="s">
        <v>14</v>
      </c>
      <c r="J146" s="90" t="s">
        <v>15</v>
      </c>
      <c r="K146" s="90" t="s">
        <v>16</v>
      </c>
      <c r="L146" s="90" t="s">
        <v>17</v>
      </c>
      <c r="M146" s="90" t="s">
        <v>18</v>
      </c>
      <c r="N146" s="90" t="s">
        <v>19</v>
      </c>
      <c r="O146" s="90" t="s">
        <v>20</v>
      </c>
      <c r="P146" s="90" t="s">
        <v>21</v>
      </c>
      <c r="Q146" s="90" t="s">
        <v>22</v>
      </c>
      <c r="R146" s="90" t="s">
        <v>23</v>
      </c>
      <c r="S146" s="90" t="s">
        <v>24</v>
      </c>
      <c r="T146" s="90" t="s">
        <v>25</v>
      </c>
      <c r="U146" s="90" t="s">
        <v>26</v>
      </c>
      <c r="V146" s="181" t="s">
        <v>27</v>
      </c>
      <c r="W146" s="181" t="s">
        <v>28</v>
      </c>
      <c r="X146" s="181" t="s">
        <v>29</v>
      </c>
      <c r="Y146" s="181" t="s">
        <v>30</v>
      </c>
      <c r="Z146" s="181" t="s">
        <v>31</v>
      </c>
      <c r="AA146" s="181" t="s">
        <v>32</v>
      </c>
      <c r="AB146" s="181" t="s">
        <v>33</v>
      </c>
      <c r="AC146" s="181" t="s">
        <v>34</v>
      </c>
      <c r="AD146" s="181" t="s">
        <v>271</v>
      </c>
      <c r="AE146" s="181" t="s">
        <v>272</v>
      </c>
      <c r="AF146" s="181" t="s">
        <v>274</v>
      </c>
      <c r="AG146" s="181" t="s">
        <v>276</v>
      </c>
      <c r="AH146" s="181" t="s">
        <v>278</v>
      </c>
      <c r="AI146" s="188" t="s">
        <v>280</v>
      </c>
      <c r="AJ146" s="188" t="s">
        <v>281</v>
      </c>
      <c r="AK146" s="188" t="s">
        <v>289</v>
      </c>
      <c r="AL146" s="188" t="s">
        <v>290</v>
      </c>
      <c r="AM146" s="188" t="s">
        <v>291</v>
      </c>
      <c r="AN146" s="188" t="s">
        <v>292</v>
      </c>
      <c r="AO146" s="188" t="s">
        <v>293</v>
      </c>
      <c r="AP146" s="188" t="s">
        <v>329</v>
      </c>
      <c r="AQ146" s="188" t="s">
        <v>330</v>
      </c>
      <c r="AR146" s="188" t="s">
        <v>331</v>
      </c>
      <c r="AS146" s="306" t="s">
        <v>490</v>
      </c>
      <c r="AT146" s="188" t="s">
        <v>332</v>
      </c>
      <c r="AU146" s="317" t="s">
        <v>477</v>
      </c>
      <c r="AV146" s="188" t="s">
        <v>333</v>
      </c>
      <c r="AW146" s="306" t="s">
        <v>463</v>
      </c>
      <c r="AX146" s="188" t="s">
        <v>448</v>
      </c>
      <c r="AY146" s="188" t="s">
        <v>451</v>
      </c>
      <c r="AZ146" s="188" t="s">
        <v>453</v>
      </c>
      <c r="BA146" s="306"/>
      <c r="BB146" s="317" t="s">
        <v>480</v>
      </c>
      <c r="BC146" s="188" t="s">
        <v>454</v>
      </c>
      <c r="BD146" s="188" t="s">
        <v>457</v>
      </c>
      <c r="BE146" s="387"/>
      <c r="BF146" s="226"/>
      <c r="BG146" s="226"/>
      <c r="BH146" s="226"/>
      <c r="BI146" s="226"/>
      <c r="BJ146" s="226"/>
      <c r="BK146" s="226"/>
      <c r="BL146" s="226"/>
      <c r="BM146" s="226"/>
      <c r="BN146" s="226"/>
      <c r="BO146" s="226"/>
      <c r="BP146" s="226"/>
      <c r="BQ146" s="226"/>
      <c r="BR146" s="226"/>
      <c r="BS146" s="226"/>
      <c r="BT146" s="226"/>
      <c r="BU146" s="226"/>
      <c r="BV146" s="226"/>
      <c r="BW146" s="226"/>
    </row>
    <row r="147" spans="1:75" ht="12.75">
      <c r="A147" s="125"/>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7"/>
      <c r="AJ147" s="127"/>
      <c r="AK147" s="127"/>
      <c r="AL147" s="127"/>
      <c r="AM147" s="127"/>
      <c r="AN147" s="127"/>
      <c r="AO147" s="127"/>
      <c r="AP147" s="127"/>
      <c r="AQ147" s="127"/>
      <c r="AR147" s="127"/>
      <c r="AS147" s="303"/>
      <c r="AT147" s="127"/>
      <c r="AU147" s="303"/>
      <c r="AV147" s="127"/>
      <c r="AW147" s="303"/>
      <c r="AX147" s="127"/>
      <c r="AY147" s="127"/>
      <c r="AZ147" s="127"/>
      <c r="BA147" s="303"/>
      <c r="BB147" s="303"/>
      <c r="BC147" s="127"/>
      <c r="BD147" s="127"/>
      <c r="BE147" s="388"/>
      <c r="BF147" s="329"/>
      <c r="BG147" s="329"/>
      <c r="BH147" s="329"/>
      <c r="BI147" s="329"/>
      <c r="BJ147" s="329"/>
      <c r="BK147" s="329"/>
      <c r="BL147" s="329"/>
      <c r="BM147" s="329"/>
      <c r="BN147" s="329"/>
      <c r="BO147" s="329"/>
      <c r="BP147" s="329"/>
      <c r="BQ147" s="329"/>
      <c r="BR147" s="329"/>
      <c r="BS147" s="329"/>
      <c r="BT147" s="329"/>
      <c r="BU147" s="329"/>
      <c r="BV147" s="329"/>
      <c r="BW147" s="329"/>
    </row>
    <row r="148" spans="1:75" ht="12.75">
      <c r="A148" s="183" t="s">
        <v>192</v>
      </c>
      <c r="B148" s="88">
        <v>91.65913043478261</v>
      </c>
      <c r="C148" s="88">
        <v>71.76570458404075</v>
      </c>
      <c r="D148" s="88">
        <v>63.44985875706215</v>
      </c>
      <c r="E148" s="88">
        <v>77.11894586894587</v>
      </c>
      <c r="F148" s="93">
        <v>304.0523560209424</v>
      </c>
      <c r="G148" s="88">
        <v>74.4073275862069</v>
      </c>
      <c r="H148" s="88">
        <v>62.716282584057424</v>
      </c>
      <c r="I148" s="88">
        <v>57.70557561171279</v>
      </c>
      <c r="J148" s="88">
        <v>72.74207011686144</v>
      </c>
      <c r="K148" s="93">
        <v>267.9496124031008</v>
      </c>
      <c r="L148" s="88">
        <v>104.96253856324373</v>
      </c>
      <c r="M148" s="88">
        <v>71.42663043478261</v>
      </c>
      <c r="N148" s="88">
        <v>56.86877436119532</v>
      </c>
      <c r="O148" s="88">
        <v>54.06492912665752</v>
      </c>
      <c r="P148" s="93">
        <v>287.620320855615</v>
      </c>
      <c r="Q148" s="88">
        <v>84.39423076923077</v>
      </c>
      <c r="R148" s="88">
        <v>89.30721452460583</v>
      </c>
      <c r="S148" s="88">
        <v>121.39980353634579</v>
      </c>
      <c r="T148" s="88">
        <v>83.12269615587151</v>
      </c>
      <c r="U148" s="93">
        <v>378.8153998025666</v>
      </c>
      <c r="V148" s="88">
        <v>125.32620320855614</v>
      </c>
      <c r="W148" s="88">
        <v>154.256177508825</v>
      </c>
      <c r="X148" s="88">
        <v>190.16898608349902</v>
      </c>
      <c r="Y148" s="88">
        <v>211.22285174693104</v>
      </c>
      <c r="Z148" s="204">
        <v>686.1492238357537</v>
      </c>
      <c r="AA148" s="88">
        <v>216</v>
      </c>
      <c r="AB148" s="88">
        <v>196</v>
      </c>
      <c r="AC148" s="88">
        <v>197</v>
      </c>
      <c r="AD148" s="88">
        <f>AE148-AC148-AB148-AA148</f>
        <v>135</v>
      </c>
      <c r="AE148" s="204">
        <v>744</v>
      </c>
      <c r="AF148" s="88">
        <v>139.47972690736515</v>
      </c>
      <c r="AG148" s="88">
        <v>163.66562693453278</v>
      </c>
      <c r="AH148" s="88">
        <v>186.32473586594767</v>
      </c>
      <c r="AI148" s="88">
        <v>161.14552320045138</v>
      </c>
      <c r="AJ148" s="204">
        <v>648.9009793253537</v>
      </c>
      <c r="AK148" s="88">
        <v>556</v>
      </c>
      <c r="AL148" s="88">
        <v>235</v>
      </c>
      <c r="AM148" s="88">
        <v>276</v>
      </c>
      <c r="AN148" s="88">
        <v>256</v>
      </c>
      <c r="AO148" s="204">
        <v>1327</v>
      </c>
      <c r="AP148" s="88">
        <v>248</v>
      </c>
      <c r="AQ148" s="88">
        <v>133</v>
      </c>
      <c r="AR148" s="88">
        <v>147</v>
      </c>
      <c r="AS148" s="100">
        <v>539</v>
      </c>
      <c r="AT148" s="88">
        <v>171</v>
      </c>
      <c r="AU148" s="100">
        <v>172</v>
      </c>
      <c r="AV148" s="204">
        <v>711</v>
      </c>
      <c r="AW148" s="309">
        <v>711</v>
      </c>
      <c r="AX148" s="88">
        <v>179</v>
      </c>
      <c r="AY148" s="88">
        <v>18</v>
      </c>
      <c r="AZ148" s="88">
        <v>213</v>
      </c>
      <c r="BA148" s="100"/>
      <c r="BB148" s="100">
        <v>406</v>
      </c>
      <c r="BC148" s="88">
        <v>228</v>
      </c>
      <c r="BD148" s="204">
        <v>632</v>
      </c>
      <c r="BE148" s="378"/>
      <c r="BF148" s="106"/>
      <c r="BG148" s="106"/>
      <c r="BH148" s="106"/>
      <c r="BI148" s="106"/>
      <c r="BJ148" s="106"/>
      <c r="BK148" s="106"/>
      <c r="BL148" s="106"/>
      <c r="BM148" s="106"/>
      <c r="BN148" s="106"/>
      <c r="BO148" s="106"/>
      <c r="BP148" s="106"/>
      <c r="BQ148" s="106"/>
      <c r="BR148" s="106"/>
      <c r="BS148" s="106"/>
      <c r="BT148" s="106"/>
      <c r="BU148" s="106"/>
      <c r="BV148" s="106"/>
      <c r="BW148" s="106"/>
    </row>
    <row r="149" spans="1:75" ht="12.75">
      <c r="A149" s="183" t="s">
        <v>193</v>
      </c>
      <c r="B149" s="88">
        <v>77.28</v>
      </c>
      <c r="C149" s="88">
        <v>87.69439728353142</v>
      </c>
      <c r="D149" s="88">
        <v>86.81850282485875</v>
      </c>
      <c r="E149" s="88">
        <v>85.2991452991453</v>
      </c>
      <c r="F149" s="93">
        <v>337.11343804537523</v>
      </c>
      <c r="G149" s="88">
        <v>35.9087643678161</v>
      </c>
      <c r="H149" s="88">
        <v>105.02833396297696</v>
      </c>
      <c r="I149" s="88">
        <v>73.58604091456077</v>
      </c>
      <c r="J149" s="88">
        <v>35.02086811352254</v>
      </c>
      <c r="K149" s="93">
        <v>250.13178294573643</v>
      </c>
      <c r="L149" s="88">
        <v>87.78757161745261</v>
      </c>
      <c r="M149" s="88">
        <v>105.38496376811594</v>
      </c>
      <c r="N149" s="88">
        <v>141.97488090082285</v>
      </c>
      <c r="O149" s="88">
        <v>149.49245541838135</v>
      </c>
      <c r="P149" s="93">
        <v>484.24242424242425</v>
      </c>
      <c r="Q149" s="88">
        <v>170.16826923076923</v>
      </c>
      <c r="R149" s="88">
        <v>216.59818442427135</v>
      </c>
      <c r="S149" s="88">
        <v>347.97151277013756</v>
      </c>
      <c r="T149" s="88">
        <v>334.3812532912059</v>
      </c>
      <c r="U149" s="93">
        <v>1061.5745310957552</v>
      </c>
      <c r="V149" s="88">
        <v>270.4705882352941</v>
      </c>
      <c r="W149" s="88">
        <v>326.1169944528492</v>
      </c>
      <c r="X149" s="88">
        <v>320.2385685884692</v>
      </c>
      <c r="Y149" s="88">
        <v>277.219074598678</v>
      </c>
      <c r="Z149" s="204">
        <v>1193.7606409614423</v>
      </c>
      <c r="AA149" s="88">
        <v>189.5132325141777</v>
      </c>
      <c r="AB149" s="88">
        <v>399</v>
      </c>
      <c r="AC149" s="88">
        <v>345</v>
      </c>
      <c r="AD149" s="88">
        <f aca="true" t="shared" si="7" ref="AD149:AD154">AE149-AC149-AB149-AA149</f>
        <v>164.4867674858223</v>
      </c>
      <c r="AE149" s="204">
        <v>1098</v>
      </c>
      <c r="AF149" s="88">
        <v>227.9804313504303</v>
      </c>
      <c r="AG149" s="88">
        <v>404.8187940664207</v>
      </c>
      <c r="AH149" s="88">
        <v>343.82460997856566</v>
      </c>
      <c r="AI149" s="88">
        <v>307.58047638658854</v>
      </c>
      <c r="AJ149" s="204">
        <v>1279.347116430903</v>
      </c>
      <c r="AK149" s="88">
        <v>334</v>
      </c>
      <c r="AL149" s="88">
        <v>544</v>
      </c>
      <c r="AM149" s="88">
        <v>146</v>
      </c>
      <c r="AN149" s="88">
        <v>-100</v>
      </c>
      <c r="AO149" s="204">
        <v>855</v>
      </c>
      <c r="AP149" s="88">
        <v>109</v>
      </c>
      <c r="AQ149" s="88">
        <v>300</v>
      </c>
      <c r="AR149" s="88">
        <v>133</v>
      </c>
      <c r="AS149" s="100">
        <v>549</v>
      </c>
      <c r="AT149" s="88">
        <v>102</v>
      </c>
      <c r="AU149" s="100">
        <v>98</v>
      </c>
      <c r="AV149" s="204">
        <v>650</v>
      </c>
      <c r="AW149" s="309">
        <v>647</v>
      </c>
      <c r="AX149" s="88">
        <v>152</v>
      </c>
      <c r="AY149" s="88">
        <v>196</v>
      </c>
      <c r="AZ149" s="88">
        <v>226</v>
      </c>
      <c r="BA149" s="100"/>
      <c r="BB149" s="100">
        <v>577</v>
      </c>
      <c r="BC149" s="88">
        <v>150</v>
      </c>
      <c r="BD149" s="204">
        <v>729</v>
      </c>
      <c r="BE149" s="378"/>
      <c r="BF149" s="106"/>
      <c r="BG149" s="106"/>
      <c r="BH149" s="106"/>
      <c r="BI149" s="106"/>
      <c r="BJ149" s="106"/>
      <c r="BK149" s="106"/>
      <c r="BL149" s="106"/>
      <c r="BM149" s="106"/>
      <c r="BN149" s="106"/>
      <c r="BO149" s="106"/>
      <c r="BP149" s="106"/>
      <c r="BQ149" s="106"/>
      <c r="BR149" s="106"/>
      <c r="BS149" s="106"/>
      <c r="BT149" s="106"/>
      <c r="BU149" s="106"/>
      <c r="BV149" s="106"/>
      <c r="BW149" s="106"/>
    </row>
    <row r="150" spans="1:75" ht="12.75">
      <c r="A150" s="183" t="s">
        <v>71</v>
      </c>
      <c r="B150" s="88">
        <v>-134.59826086956522</v>
      </c>
      <c r="C150" s="88">
        <v>-123.4736842105263</v>
      </c>
      <c r="D150" s="88">
        <v>-77.01271186440678</v>
      </c>
      <c r="E150" s="88">
        <v>-43.47222222222222</v>
      </c>
      <c r="F150" s="93">
        <v>-380.7225130890052</v>
      </c>
      <c r="G150" s="88">
        <v>-14.346264367816092</v>
      </c>
      <c r="H150" s="88">
        <v>21.080468454854554</v>
      </c>
      <c r="I150" s="88">
        <v>29.83553951062976</v>
      </c>
      <c r="J150" s="88">
        <v>10.187813021702839</v>
      </c>
      <c r="K150" s="93">
        <v>44.43798449612403</v>
      </c>
      <c r="L150" s="88">
        <v>2.9396209784045837</v>
      </c>
      <c r="M150" s="88">
        <v>-31.567028985507243</v>
      </c>
      <c r="N150" s="88">
        <v>78.9302728453876</v>
      </c>
      <c r="O150" s="88">
        <v>29.867398262459993</v>
      </c>
      <c r="P150" s="93">
        <v>82.23707664884135</v>
      </c>
      <c r="Q150" s="88">
        <v>111.65384615384616</v>
      </c>
      <c r="R150" s="88">
        <v>65.34639273769709</v>
      </c>
      <c r="S150" s="88">
        <v>69.975442043222</v>
      </c>
      <c r="T150" s="88">
        <v>106.82991047919957</v>
      </c>
      <c r="U150" s="93">
        <v>352.59131293188545</v>
      </c>
      <c r="V150" s="88">
        <v>171.14438502673795</v>
      </c>
      <c r="W150" s="88">
        <v>68.37115481593545</v>
      </c>
      <c r="X150" s="88">
        <v>57.067594433399606</v>
      </c>
      <c r="Y150" s="88">
        <v>1.019830028328613</v>
      </c>
      <c r="Z150" s="204">
        <v>286.73009514271405</v>
      </c>
      <c r="AA150" s="88">
        <v>416</v>
      </c>
      <c r="AB150" s="88">
        <v>51.990566037735846</v>
      </c>
      <c r="AC150" s="88">
        <v>33</v>
      </c>
      <c r="AD150" s="88">
        <f t="shared" si="7"/>
        <v>52.009433962264154</v>
      </c>
      <c r="AE150" s="204">
        <v>553</v>
      </c>
      <c r="AF150" s="88">
        <v>75.11085833496563</v>
      </c>
      <c r="AG150" s="88">
        <v>54.656535358820946</v>
      </c>
      <c r="AH150" s="88">
        <v>55.70696493335659</v>
      </c>
      <c r="AI150" s="88">
        <v>65.5898797871274</v>
      </c>
      <c r="AJ150" s="204">
        <v>251.27856365614798</v>
      </c>
      <c r="AK150" s="88">
        <v>77</v>
      </c>
      <c r="AL150" s="88">
        <v>68</v>
      </c>
      <c r="AM150" s="88">
        <v>67</v>
      </c>
      <c r="AN150" s="88">
        <v>69</v>
      </c>
      <c r="AO150" s="204">
        <v>282</v>
      </c>
      <c r="AP150" s="88">
        <v>91</v>
      </c>
      <c r="AQ150" s="88">
        <v>67</v>
      </c>
      <c r="AR150" s="88">
        <v>103</v>
      </c>
      <c r="AS150" s="100">
        <v>265</v>
      </c>
      <c r="AT150" s="88">
        <v>116</v>
      </c>
      <c r="AU150" s="100">
        <v>119</v>
      </c>
      <c r="AV150" s="204">
        <v>373</v>
      </c>
      <c r="AW150" s="309">
        <v>384</v>
      </c>
      <c r="AX150" s="88">
        <v>155</v>
      </c>
      <c r="AY150" s="88">
        <v>121</v>
      </c>
      <c r="AZ150" s="88">
        <v>47</v>
      </c>
      <c r="BA150" s="100"/>
      <c r="BB150" s="100">
        <v>317</v>
      </c>
      <c r="BC150" s="88">
        <v>101</v>
      </c>
      <c r="BD150" s="204">
        <v>418</v>
      </c>
      <c r="BE150" s="378"/>
      <c r="BF150" s="106"/>
      <c r="BG150" s="106"/>
      <c r="BH150" s="106"/>
      <c r="BI150" s="106"/>
      <c r="BJ150" s="106"/>
      <c r="BK150" s="106"/>
      <c r="BL150" s="106"/>
      <c r="BM150" s="106"/>
      <c r="BN150" s="106"/>
      <c r="BO150" s="106"/>
      <c r="BP150" s="106"/>
      <c r="BQ150" s="106"/>
      <c r="BR150" s="106"/>
      <c r="BS150" s="106"/>
      <c r="BT150" s="106"/>
      <c r="BU150" s="106"/>
      <c r="BV150" s="106"/>
      <c r="BW150" s="106"/>
    </row>
    <row r="151" spans="1:75" ht="12.75">
      <c r="A151" s="183" t="s">
        <v>62</v>
      </c>
      <c r="B151" s="88">
        <v>21.87130434782609</v>
      </c>
      <c r="C151" s="88">
        <v>1.1986417657045845</v>
      </c>
      <c r="D151" s="88">
        <v>15.32132768361582</v>
      </c>
      <c r="E151" s="88">
        <v>16.203703703703702</v>
      </c>
      <c r="F151" s="93">
        <v>54.20593368237347</v>
      </c>
      <c r="G151" s="88">
        <v>9.13793103448276</v>
      </c>
      <c r="H151" s="88">
        <v>18.5304117869286</v>
      </c>
      <c r="I151" s="88">
        <v>22.57521058965102</v>
      </c>
      <c r="J151" s="88">
        <v>-3.8814691151919867</v>
      </c>
      <c r="K151" s="93">
        <v>47.081395348837205</v>
      </c>
      <c r="L151" s="88">
        <v>15.18289995592772</v>
      </c>
      <c r="M151" s="88">
        <v>28.817934782608695</v>
      </c>
      <c r="N151" s="88">
        <v>-6.595928973581637</v>
      </c>
      <c r="O151" s="88">
        <v>28.427069044352997</v>
      </c>
      <c r="P151" s="93">
        <v>64.62566844919786</v>
      </c>
      <c r="Q151" s="88">
        <v>31.519230769230766</v>
      </c>
      <c r="R151" s="88">
        <v>30.21978021978022</v>
      </c>
      <c r="S151" s="88">
        <v>33.781925343811395</v>
      </c>
      <c r="T151" s="88">
        <v>59.68404423380726</v>
      </c>
      <c r="U151" s="93">
        <v>153.46989141164858</v>
      </c>
      <c r="V151" s="88">
        <v>69.47058823529412</v>
      </c>
      <c r="W151" s="88">
        <v>37.428139183055976</v>
      </c>
      <c r="X151" s="88">
        <v>20.46222664015905</v>
      </c>
      <c r="Y151" s="88">
        <v>40.609065155807365</v>
      </c>
      <c r="Z151" s="204">
        <v>165.9038557836755</v>
      </c>
      <c r="AA151" s="88">
        <v>38.09546313799622</v>
      </c>
      <c r="AB151" s="88">
        <v>39</v>
      </c>
      <c r="AC151" s="88">
        <v>46</v>
      </c>
      <c r="AD151" s="88">
        <f t="shared" si="7"/>
        <v>75.90453686200378</v>
      </c>
      <c r="AE151" s="204">
        <v>199</v>
      </c>
      <c r="AF151" s="88">
        <v>89.43005010159555</v>
      </c>
      <c r="AG151" s="88">
        <v>92.7679202783047</v>
      </c>
      <c r="AH151" s="88">
        <v>91.10773702609602</v>
      </c>
      <c r="AI151" s="88">
        <v>53.2240576823434</v>
      </c>
      <c r="AJ151" s="204">
        <v>328.04134929270947</v>
      </c>
      <c r="AK151" s="88">
        <v>43</v>
      </c>
      <c r="AL151" s="88">
        <v>-52</v>
      </c>
      <c r="AM151" s="88">
        <v>28</v>
      </c>
      <c r="AN151" s="88">
        <v>43</v>
      </c>
      <c r="AO151" s="204">
        <v>71</v>
      </c>
      <c r="AP151" s="88">
        <v>5</v>
      </c>
      <c r="AQ151" s="88">
        <v>-22</v>
      </c>
      <c r="AR151" s="88">
        <v>32</v>
      </c>
      <c r="AS151" s="100">
        <v>11</v>
      </c>
      <c r="AT151" s="88">
        <v>3</v>
      </c>
      <c r="AU151" s="100">
        <v>4</v>
      </c>
      <c r="AV151" s="204">
        <v>15</v>
      </c>
      <c r="AW151" s="309">
        <v>15</v>
      </c>
      <c r="AX151" s="88">
        <v>11</v>
      </c>
      <c r="AY151" s="88">
        <v>28</v>
      </c>
      <c r="AZ151" s="88">
        <v>49</v>
      </c>
      <c r="BA151" s="100"/>
      <c r="BB151" s="100">
        <v>89</v>
      </c>
      <c r="BC151" s="88">
        <v>2</v>
      </c>
      <c r="BD151" s="204">
        <v>92</v>
      </c>
      <c r="BE151" s="378"/>
      <c r="BF151" s="106"/>
      <c r="BG151" s="106"/>
      <c r="BH151" s="106"/>
      <c r="BI151" s="106"/>
      <c r="BJ151" s="106"/>
      <c r="BK151" s="106"/>
      <c r="BL151" s="106"/>
      <c r="BM151" s="106"/>
      <c r="BN151" s="106"/>
      <c r="BO151" s="106"/>
      <c r="BP151" s="106"/>
      <c r="BQ151" s="106"/>
      <c r="BR151" s="106"/>
      <c r="BS151" s="106"/>
      <c r="BT151" s="106"/>
      <c r="BU151" s="106"/>
      <c r="BV151" s="106"/>
      <c r="BW151" s="106"/>
    </row>
    <row r="152" spans="1:75" ht="12.75">
      <c r="A152" s="183" t="s">
        <v>195</v>
      </c>
      <c r="B152" s="88">
        <v>-5.158260869565218</v>
      </c>
      <c r="C152" s="88">
        <v>-14.580645161290322</v>
      </c>
      <c r="D152" s="88">
        <v>-22.02683615819209</v>
      </c>
      <c r="E152" s="88">
        <v>-26.88034188034188</v>
      </c>
      <c r="F152" s="93">
        <v>-68.28272251308901</v>
      </c>
      <c r="G152" s="88">
        <v>-15.431034482758623</v>
      </c>
      <c r="H152" s="88">
        <v>-21.22780506233472</v>
      </c>
      <c r="I152" s="88">
        <v>-28.387484957882066</v>
      </c>
      <c r="J152" s="88">
        <v>-49.32387312186978</v>
      </c>
      <c r="K152" s="93">
        <v>-111.66666666666667</v>
      </c>
      <c r="L152" s="88">
        <v>-12.661965623622741</v>
      </c>
      <c r="M152" s="88">
        <v>-44.55615942028985</v>
      </c>
      <c r="N152" s="88">
        <v>-29.57557384148982</v>
      </c>
      <c r="O152" s="88">
        <v>-30.15546410608139</v>
      </c>
      <c r="P152" s="93">
        <v>-116.46613190730838</v>
      </c>
      <c r="Q152" s="88">
        <v>-15.783653846153845</v>
      </c>
      <c r="R152" s="88">
        <v>-38.31342570473005</v>
      </c>
      <c r="S152" s="88">
        <v>-27.750491159135564</v>
      </c>
      <c r="T152" s="88">
        <v>-126.94049499736703</v>
      </c>
      <c r="U152" s="93">
        <v>-202.65547877591314</v>
      </c>
      <c r="V152" s="88">
        <v>-53.40106951871658</v>
      </c>
      <c r="W152" s="88">
        <v>-25.511850731215333</v>
      </c>
      <c r="X152" s="88">
        <v>-54.52783300198808</v>
      </c>
      <c r="Y152" s="88">
        <v>-29.230406043437206</v>
      </c>
      <c r="Z152" s="204">
        <v>-161.2769153730596</v>
      </c>
      <c r="AA152" s="88">
        <v>-44</v>
      </c>
      <c r="AB152" s="88">
        <v>-55.68867924528301</v>
      </c>
      <c r="AC152" s="88">
        <v>-34</v>
      </c>
      <c r="AD152" s="88">
        <f t="shared" si="7"/>
        <v>-36.31132075471699</v>
      </c>
      <c r="AE152" s="204">
        <v>-170</v>
      </c>
      <c r="AF152" s="88">
        <v>42.215137148102954</v>
      </c>
      <c r="AG152" s="88">
        <v>-34.81646814892021</v>
      </c>
      <c r="AH152" s="88">
        <v>61.70441345037842</v>
      </c>
      <c r="AI152" s="88">
        <v>134.73987803835814</v>
      </c>
      <c r="AJ152" s="204">
        <v>198.73231773667027</v>
      </c>
      <c r="AK152" s="88">
        <v>-38</v>
      </c>
      <c r="AL152" s="88">
        <v>-16</v>
      </c>
      <c r="AM152" s="88">
        <v>-74</v>
      </c>
      <c r="AN152" s="88">
        <v>-33</v>
      </c>
      <c r="AO152" s="204">
        <v>-159</v>
      </c>
      <c r="AP152" s="88">
        <v>50</v>
      </c>
      <c r="AQ152" s="88">
        <v>66</v>
      </c>
      <c r="AR152" s="88">
        <v>-29</v>
      </c>
      <c r="AS152" s="100">
        <v>16</v>
      </c>
      <c r="AT152" s="88">
        <v>-48</v>
      </c>
      <c r="AU152" s="100">
        <v>-20</v>
      </c>
      <c r="AV152" s="204">
        <v>-30</v>
      </c>
      <c r="AW152" s="309">
        <v>-4</v>
      </c>
      <c r="AX152" s="88">
        <v>-10</v>
      </c>
      <c r="AY152" s="88">
        <v>21</v>
      </c>
      <c r="AZ152" s="88">
        <v>-57</v>
      </c>
      <c r="BA152" s="100"/>
      <c r="BB152" s="100">
        <v>-46</v>
      </c>
      <c r="BC152" s="88">
        <v>-19</v>
      </c>
      <c r="BD152" s="204">
        <v>-64</v>
      </c>
      <c r="BE152" s="378"/>
      <c r="BF152" s="106"/>
      <c r="BG152" s="106"/>
      <c r="BH152" s="106"/>
      <c r="BI152" s="106"/>
      <c r="BJ152" s="106"/>
      <c r="BK152" s="106"/>
      <c r="BL152" s="106"/>
      <c r="BM152" s="106"/>
      <c r="BN152" s="106"/>
      <c r="BO152" s="106"/>
      <c r="BP152" s="106"/>
      <c r="BQ152" s="106"/>
      <c r="BR152" s="106"/>
      <c r="BS152" s="106"/>
      <c r="BT152" s="106"/>
      <c r="BU152" s="106"/>
      <c r="BV152" s="106"/>
      <c r="BW152" s="106"/>
    </row>
    <row r="153" spans="1:75" ht="14.25">
      <c r="A153" s="183" t="s">
        <v>319</v>
      </c>
      <c r="B153" s="88">
        <v>20.716521739130435</v>
      </c>
      <c r="C153" s="88">
        <v>-13.745331069609508</v>
      </c>
      <c r="D153" s="88">
        <v>-27.450564971751415</v>
      </c>
      <c r="E153" s="88">
        <v>26.463675213675213</v>
      </c>
      <c r="F153" s="93">
        <v>5.462478184991274</v>
      </c>
      <c r="G153" s="88">
        <v>12.737068965517242</v>
      </c>
      <c r="H153" s="88">
        <v>-13.388741972043825</v>
      </c>
      <c r="I153" s="88">
        <v>-21.556357801845166</v>
      </c>
      <c r="J153" s="88">
        <v>23.714524207011685</v>
      </c>
      <c r="K153" s="93">
        <v>1.2015503875968991</v>
      </c>
      <c r="L153" s="88">
        <v>14.764213309828119</v>
      </c>
      <c r="M153" s="88">
        <v>-24.393115942028984</v>
      </c>
      <c r="N153" s="88">
        <v>-13.083585967951494</v>
      </c>
      <c r="O153" s="88">
        <v>16.236854138088706</v>
      </c>
      <c r="P153" s="93">
        <v>-6.711229946524064</v>
      </c>
      <c r="Q153" s="88">
        <v>34.44230769230769</v>
      </c>
      <c r="R153" s="88">
        <v>-15.967510750119445</v>
      </c>
      <c r="S153" s="88">
        <v>-22.87819253438114</v>
      </c>
      <c r="T153" s="88">
        <v>25.660874144286467</v>
      </c>
      <c r="U153" s="93">
        <v>19.925962487660414</v>
      </c>
      <c r="V153" s="88">
        <v>54.99465240641711</v>
      </c>
      <c r="W153" s="88">
        <v>-22.985375693393845</v>
      </c>
      <c r="X153" s="88">
        <v>-54.47316103379722</v>
      </c>
      <c r="Y153" s="88">
        <v>-2.039660056657224</v>
      </c>
      <c r="Z153" s="204">
        <v>-28.372558838257387</v>
      </c>
      <c r="AA153" s="88">
        <v>67.7882797731569</v>
      </c>
      <c r="AB153" s="88">
        <v>5.169811320754717</v>
      </c>
      <c r="AC153" s="88">
        <v>1</v>
      </c>
      <c r="AD153" s="88">
        <f t="shared" si="7"/>
        <v>9.04190890608838</v>
      </c>
      <c r="AE153" s="204">
        <v>83</v>
      </c>
      <c r="AF153" s="88">
        <v>-7.377654641182425</v>
      </c>
      <c r="AG153" s="88">
        <v>-10.308149830807526</v>
      </c>
      <c r="AH153" s="88">
        <v>-3.143339714107895</v>
      </c>
      <c r="AI153" s="88">
        <v>14.452590415466148</v>
      </c>
      <c r="AJ153" s="204">
        <v>-7.480957562568008</v>
      </c>
      <c r="AK153" s="88">
        <v>-385</v>
      </c>
      <c r="AL153" s="88">
        <v>-1</v>
      </c>
      <c r="AM153" s="88">
        <v>37</v>
      </c>
      <c r="AN153" s="88">
        <v>22</v>
      </c>
      <c r="AO153" s="204">
        <v>-330</v>
      </c>
      <c r="AP153" s="88">
        <v>-28</v>
      </c>
      <c r="AQ153" s="88">
        <v>44</v>
      </c>
      <c r="AR153" s="88">
        <v>14</v>
      </c>
      <c r="AS153" s="100">
        <v>22</v>
      </c>
      <c r="AT153" s="88">
        <v>-2</v>
      </c>
      <c r="AU153" s="100">
        <v>-10</v>
      </c>
      <c r="AV153" s="204">
        <v>27</v>
      </c>
      <c r="AW153" s="309">
        <v>12</v>
      </c>
      <c r="AX153" s="88">
        <v>-9</v>
      </c>
      <c r="AY153" s="88">
        <v>-2</v>
      </c>
      <c r="AZ153" s="88">
        <v>7</v>
      </c>
      <c r="BA153" s="100"/>
      <c r="BB153" s="100">
        <v>-2</v>
      </c>
      <c r="BC153" s="88">
        <v>-12</v>
      </c>
      <c r="BD153" s="204">
        <v>-15</v>
      </c>
      <c r="BE153" s="378"/>
      <c r="BF153" s="106"/>
      <c r="BG153" s="106"/>
      <c r="BH153" s="106"/>
      <c r="BI153" s="106"/>
      <c r="BJ153" s="106"/>
      <c r="BK153" s="106"/>
      <c r="BL153" s="106"/>
      <c r="BM153" s="106"/>
      <c r="BN153" s="106"/>
      <c r="BO153" s="106"/>
      <c r="BP153" s="106"/>
      <c r="BQ153" s="106"/>
      <c r="BR153" s="106"/>
      <c r="BS153" s="106"/>
      <c r="BT153" s="106"/>
      <c r="BU153" s="106"/>
      <c r="BV153" s="106"/>
      <c r="BW153" s="106"/>
    </row>
    <row r="154" spans="1:75" s="116" customFormat="1" ht="12.75">
      <c r="A154" s="185" t="s">
        <v>205</v>
      </c>
      <c r="B154" s="96">
        <v>71.7704347826087</v>
      </c>
      <c r="C154" s="96">
        <v>8.859083191850635</v>
      </c>
      <c r="D154" s="96">
        <v>39.099576271186436</v>
      </c>
      <c r="E154" s="96">
        <v>134.73290598290595</v>
      </c>
      <c r="F154" s="97">
        <v>251.82897033158818</v>
      </c>
      <c r="G154" s="96">
        <v>102.41379310344828</v>
      </c>
      <c r="H154" s="96">
        <v>172.738949754439</v>
      </c>
      <c r="I154" s="96">
        <v>133.75852386682712</v>
      </c>
      <c r="J154" s="96">
        <v>88.45993322203674</v>
      </c>
      <c r="K154" s="97">
        <v>499.13565891472865</v>
      </c>
      <c r="L154" s="96">
        <v>212.974878801234</v>
      </c>
      <c r="M154" s="96">
        <v>105.11322463768117</v>
      </c>
      <c r="N154" s="96">
        <v>228.5188393243828</v>
      </c>
      <c r="O154" s="96">
        <v>247.93324188385918</v>
      </c>
      <c r="P154" s="97">
        <v>795.548128342246</v>
      </c>
      <c r="Q154" s="96">
        <v>416.3942307692308</v>
      </c>
      <c r="R154" s="96">
        <v>347.190635451505</v>
      </c>
      <c r="S154" s="96">
        <v>522.5</v>
      </c>
      <c r="T154" s="96">
        <v>482.73828330700377</v>
      </c>
      <c r="U154" s="97">
        <v>1763.7216189536034</v>
      </c>
      <c r="V154" s="96">
        <v>638.0053475935829</v>
      </c>
      <c r="W154" s="96">
        <v>537.6752395360566</v>
      </c>
      <c r="X154" s="96">
        <v>478.9363817097416</v>
      </c>
      <c r="Y154" s="96">
        <v>498.80075542965056</v>
      </c>
      <c r="Z154" s="205">
        <v>2142.894341512269</v>
      </c>
      <c r="AA154" s="96">
        <v>884</v>
      </c>
      <c r="AB154" s="96">
        <v>635</v>
      </c>
      <c r="AC154" s="96">
        <v>588</v>
      </c>
      <c r="AD154" s="96">
        <f t="shared" si="7"/>
        <v>400</v>
      </c>
      <c r="AE154" s="205">
        <v>2507</v>
      </c>
      <c r="AF154" s="96">
        <v>566.8385492012771</v>
      </c>
      <c r="AG154" s="96">
        <v>670.7842586583514</v>
      </c>
      <c r="AH154" s="96">
        <v>735.5251215402365</v>
      </c>
      <c r="AI154" s="96">
        <v>736.732405510335</v>
      </c>
      <c r="AJ154" s="205">
        <v>2698.819368879216</v>
      </c>
      <c r="AK154" s="96">
        <v>587</v>
      </c>
      <c r="AL154" s="96">
        <v>778</v>
      </c>
      <c r="AM154" s="96">
        <v>480</v>
      </c>
      <c r="AN154" s="96">
        <v>257</v>
      </c>
      <c r="AO154" s="205">
        <v>2046</v>
      </c>
      <c r="AP154" s="96">
        <v>475</v>
      </c>
      <c r="AQ154" s="96">
        <v>588</v>
      </c>
      <c r="AR154" s="96">
        <v>400</v>
      </c>
      <c r="AS154" s="294">
        <v>1402</v>
      </c>
      <c r="AT154" s="96">
        <v>342</v>
      </c>
      <c r="AU154" s="294">
        <v>363</v>
      </c>
      <c r="AV154" s="205">
        <v>1746</v>
      </c>
      <c r="AW154" s="310">
        <v>1765</v>
      </c>
      <c r="AX154" s="96">
        <v>478</v>
      </c>
      <c r="AY154" s="96">
        <v>382</v>
      </c>
      <c r="AZ154" s="96">
        <v>485</v>
      </c>
      <c r="BA154" s="294"/>
      <c r="BB154" s="294">
        <v>1341</v>
      </c>
      <c r="BC154" s="96">
        <v>450</v>
      </c>
      <c r="BD154" s="205">
        <v>1792</v>
      </c>
      <c r="BE154" s="386"/>
      <c r="BF154" s="108"/>
      <c r="BG154" s="108"/>
      <c r="BH154" s="108"/>
      <c r="BI154" s="108"/>
      <c r="BJ154" s="108"/>
      <c r="BK154" s="108"/>
      <c r="BL154" s="108"/>
      <c r="BM154" s="108"/>
      <c r="BN154" s="108"/>
      <c r="BO154" s="108"/>
      <c r="BP154" s="108"/>
      <c r="BQ154" s="108"/>
      <c r="BR154" s="108"/>
      <c r="BS154" s="108"/>
      <c r="BT154" s="108"/>
      <c r="BU154" s="108"/>
      <c r="BV154" s="108"/>
      <c r="BW154" s="108"/>
    </row>
    <row r="155" spans="1:75" s="116" customFormat="1" ht="12.75">
      <c r="A155" s="125"/>
      <c r="AS155" s="302"/>
      <c r="AU155" s="302"/>
      <c r="AW155" s="302"/>
      <c r="AX155" s="91"/>
      <c r="AY155" s="91"/>
      <c r="AZ155" s="91"/>
      <c r="BA155" s="290"/>
      <c r="BB155" s="290"/>
      <c r="BC155" s="91"/>
      <c r="BE155" s="378"/>
      <c r="BF155" s="106"/>
      <c r="BG155" s="106"/>
      <c r="BH155" s="106"/>
      <c r="BI155" s="106"/>
      <c r="BJ155" s="106"/>
      <c r="BK155" s="106"/>
      <c r="BL155" s="106"/>
      <c r="BM155" s="106"/>
      <c r="BN155" s="106"/>
      <c r="BO155" s="106"/>
      <c r="BP155" s="106"/>
      <c r="BQ155" s="106"/>
      <c r="BR155" s="106"/>
      <c r="BS155" s="106"/>
      <c r="BT155" s="106"/>
      <c r="BU155" s="106"/>
      <c r="BV155" s="106"/>
      <c r="BW155" s="106"/>
    </row>
    <row r="156" spans="1:75" s="116" customFormat="1" ht="12.75">
      <c r="A156" s="131" t="s">
        <v>298</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v>192.60863636363638</v>
      </c>
      <c r="AG156" s="91">
        <v>184.22316624895575</v>
      </c>
      <c r="AH156" s="91">
        <v>183.2445909090909</v>
      </c>
      <c r="AI156" s="91">
        <v>174.43239775910365</v>
      </c>
      <c r="AJ156" s="91">
        <v>183.8</v>
      </c>
      <c r="AQ156" s="135">
        <v>210.2</v>
      </c>
      <c r="AR156" s="135">
        <v>189.8</v>
      </c>
      <c r="AS156" s="312"/>
      <c r="AT156" s="135">
        <v>183.3</v>
      </c>
      <c r="AU156" s="312"/>
      <c r="AV156" s="116">
        <v>202.3</v>
      </c>
      <c r="AW156" s="302">
        <v>202.3</v>
      </c>
      <c r="AX156" s="135">
        <v>194.2</v>
      </c>
      <c r="AY156" s="135">
        <v>216.1</v>
      </c>
      <c r="AZ156" s="135">
        <v>218.7</v>
      </c>
      <c r="BA156" s="312">
        <v>218.7</v>
      </c>
      <c r="BB156" s="312"/>
      <c r="BC156" s="135">
        <v>203.1</v>
      </c>
      <c r="BD156" s="116">
        <v>208.1</v>
      </c>
      <c r="BE156" s="392"/>
      <c r="BF156" s="154"/>
      <c r="BG156" s="154"/>
      <c r="BH156" s="154"/>
      <c r="BI156" s="154"/>
      <c r="BJ156" s="154"/>
      <c r="BK156" s="154"/>
      <c r="BL156" s="154"/>
      <c r="BM156" s="154"/>
      <c r="BN156" s="154"/>
      <c r="BO156" s="154"/>
      <c r="BP156" s="154"/>
      <c r="BQ156" s="154"/>
      <c r="BR156" s="154"/>
      <c r="BS156" s="154"/>
      <c r="BT156" s="154"/>
      <c r="BU156" s="154"/>
      <c r="BV156" s="154"/>
      <c r="BW156" s="154"/>
    </row>
    <row r="157" spans="1:75" s="116" customFormat="1" ht="12.75">
      <c r="A157" s="13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S157" s="302"/>
      <c r="AU157" s="302"/>
      <c r="AW157" s="302"/>
      <c r="BA157" s="302"/>
      <c r="BB157" s="302"/>
      <c r="BE157" s="386"/>
      <c r="BF157" s="108"/>
      <c r="BG157" s="108"/>
      <c r="BH157" s="108"/>
      <c r="BI157" s="108"/>
      <c r="BJ157" s="108"/>
      <c r="BK157" s="108"/>
      <c r="BL157" s="108"/>
      <c r="BM157" s="108"/>
      <c r="BN157" s="108"/>
      <c r="BO157" s="108"/>
      <c r="BP157" s="108"/>
      <c r="BQ157" s="108"/>
      <c r="BR157" s="108"/>
      <c r="BS157" s="108"/>
      <c r="BT157" s="108"/>
      <c r="BU157" s="108"/>
      <c r="BV157" s="108"/>
      <c r="BW157" s="108"/>
    </row>
    <row r="158" spans="57:75" ht="12.75">
      <c r="BE158" s="378"/>
      <c r="BF158" s="106"/>
      <c r="BG158" s="106"/>
      <c r="BH158" s="106"/>
      <c r="BI158" s="106"/>
      <c r="BJ158" s="106"/>
      <c r="BK158" s="106"/>
      <c r="BL158" s="106"/>
      <c r="BM158" s="106"/>
      <c r="BN158" s="106"/>
      <c r="BO158" s="106"/>
      <c r="BP158" s="106"/>
      <c r="BQ158" s="106"/>
      <c r="BR158" s="106"/>
      <c r="BS158" s="106"/>
      <c r="BT158" s="106"/>
      <c r="BU158" s="106"/>
      <c r="BV158" s="106"/>
      <c r="BW158" s="106"/>
    </row>
    <row r="159" spans="1:75" ht="25.5">
      <c r="A159" s="180" t="s">
        <v>389</v>
      </c>
      <c r="B159" s="90">
        <v>36981</v>
      </c>
      <c r="C159" s="90">
        <v>37072</v>
      </c>
      <c r="D159" s="90">
        <v>37164</v>
      </c>
      <c r="E159" s="90">
        <v>37256</v>
      </c>
      <c r="F159" s="90"/>
      <c r="G159" s="90">
        <v>37346</v>
      </c>
      <c r="H159" s="90">
        <v>37437</v>
      </c>
      <c r="I159" s="90">
        <v>37529</v>
      </c>
      <c r="J159" s="90">
        <v>37621</v>
      </c>
      <c r="K159" s="90"/>
      <c r="L159" s="90">
        <v>37711</v>
      </c>
      <c r="M159" s="90">
        <v>37802</v>
      </c>
      <c r="N159" s="90">
        <v>37894</v>
      </c>
      <c r="O159" s="90">
        <v>37986</v>
      </c>
      <c r="P159" s="90"/>
      <c r="Q159" s="90">
        <v>38077</v>
      </c>
      <c r="R159" s="90">
        <v>38168</v>
      </c>
      <c r="S159" s="90">
        <v>38260</v>
      </c>
      <c r="T159" s="90">
        <v>38352</v>
      </c>
      <c r="U159" s="90"/>
      <c r="V159" s="186">
        <v>38442</v>
      </c>
      <c r="W159" s="186">
        <v>38533</v>
      </c>
      <c r="X159" s="186">
        <v>38625</v>
      </c>
      <c r="Y159" s="186">
        <v>38717</v>
      </c>
      <c r="Z159" s="186"/>
      <c r="AA159" s="186">
        <v>38807</v>
      </c>
      <c r="AB159" s="186">
        <v>38898</v>
      </c>
      <c r="AC159" s="186">
        <v>38990</v>
      </c>
      <c r="AD159" s="186">
        <v>39082</v>
      </c>
      <c r="AE159" s="186"/>
      <c r="AF159" s="186">
        <v>39172</v>
      </c>
      <c r="AG159" s="186">
        <v>39263</v>
      </c>
      <c r="AH159" s="186">
        <v>39355</v>
      </c>
      <c r="AI159" s="187">
        <v>39447</v>
      </c>
      <c r="AJ159" s="187"/>
      <c r="AK159" s="187">
        <v>39538</v>
      </c>
      <c r="AL159" s="187">
        <v>39629</v>
      </c>
      <c r="AM159" s="187">
        <v>39721</v>
      </c>
      <c r="AN159" s="187">
        <v>39813</v>
      </c>
      <c r="AO159" s="188"/>
      <c r="AP159" s="187">
        <v>39903</v>
      </c>
      <c r="AQ159" s="187">
        <v>39994</v>
      </c>
      <c r="AR159" s="187">
        <v>40086</v>
      </c>
      <c r="AS159" s="307"/>
      <c r="AT159" s="187">
        <v>40178</v>
      </c>
      <c r="AU159" s="317"/>
      <c r="AV159" s="188"/>
      <c r="AW159" s="306" t="s">
        <v>468</v>
      </c>
      <c r="AX159" s="187">
        <v>40268</v>
      </c>
      <c r="AY159" s="187">
        <v>40359</v>
      </c>
      <c r="AZ159" s="187">
        <v>40451</v>
      </c>
      <c r="BA159" s="307"/>
      <c r="BB159" s="317"/>
      <c r="BC159" s="187">
        <v>40543</v>
      </c>
      <c r="BD159" s="188" t="s">
        <v>457</v>
      </c>
      <c r="BE159" s="389"/>
      <c r="BF159" s="332"/>
      <c r="BG159" s="332"/>
      <c r="BH159" s="332"/>
      <c r="BI159" s="332"/>
      <c r="BJ159" s="332"/>
      <c r="BK159" s="332"/>
      <c r="BL159" s="332"/>
      <c r="BM159" s="332"/>
      <c r="BN159" s="332"/>
      <c r="BO159" s="332"/>
      <c r="BP159" s="332"/>
      <c r="BQ159" s="332"/>
      <c r="BR159" s="332"/>
      <c r="BS159" s="332"/>
      <c r="BT159" s="332"/>
      <c r="BU159" s="332"/>
      <c r="BV159" s="332"/>
      <c r="BW159" s="332"/>
    </row>
    <row r="160" spans="1:75" ht="12.75">
      <c r="A160" s="125"/>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K160" s="129"/>
      <c r="AL160" s="129"/>
      <c r="AM160" s="129"/>
      <c r="AN160" s="129"/>
      <c r="AP160" s="129"/>
      <c r="AQ160" s="129"/>
      <c r="AR160" s="129"/>
      <c r="AS160" s="305"/>
      <c r="AT160" s="129"/>
      <c r="AU160" s="305"/>
      <c r="AX160" s="129"/>
      <c r="AY160" s="129"/>
      <c r="AZ160" s="129"/>
      <c r="BA160" s="305"/>
      <c r="BB160" s="305"/>
      <c r="BC160" s="129"/>
      <c r="BE160" s="390"/>
      <c r="BF160" s="333"/>
      <c r="BG160" s="333"/>
      <c r="BH160" s="333"/>
      <c r="BI160" s="333"/>
      <c r="BJ160" s="333"/>
      <c r="BK160" s="333"/>
      <c r="BL160" s="333"/>
      <c r="BM160" s="333"/>
      <c r="BN160" s="333"/>
      <c r="BO160" s="333"/>
      <c r="BP160" s="333"/>
      <c r="BQ160" s="333"/>
      <c r="BR160" s="333"/>
      <c r="BS160" s="333"/>
      <c r="BT160" s="333"/>
      <c r="BU160" s="333"/>
      <c r="BV160" s="333"/>
      <c r="BW160" s="333"/>
    </row>
    <row r="161" spans="1:75" ht="12.75">
      <c r="A161" s="183" t="s">
        <v>192</v>
      </c>
      <c r="B161" s="88">
        <v>284.7787318361955</v>
      </c>
      <c r="C161" s="88">
        <v>290.97425191370917</v>
      </c>
      <c r="D161" s="88">
        <v>291.41841450408816</v>
      </c>
      <c r="E161" s="88">
        <v>275.89247311827955</v>
      </c>
      <c r="F161" s="106"/>
      <c r="G161" s="88">
        <v>266.72636103151865</v>
      </c>
      <c r="H161" s="88">
        <v>294.34130522902313</v>
      </c>
      <c r="I161" s="88">
        <v>280.9822150363783</v>
      </c>
      <c r="J161" s="88">
        <v>321.9849023090586</v>
      </c>
      <c r="K161" s="106"/>
      <c r="L161" s="88">
        <v>303.1409691629956</v>
      </c>
      <c r="M161" s="88">
        <v>418.90557939914163</v>
      </c>
      <c r="N161" s="88">
        <v>461.05407882676445</v>
      </c>
      <c r="O161" s="88">
        <v>486.95045695045695</v>
      </c>
      <c r="P161" s="106"/>
      <c r="Q161" s="88">
        <v>479.5827196858125</v>
      </c>
      <c r="R161" s="88">
        <v>451.80076628352487</v>
      </c>
      <c r="S161" s="88">
        <v>453.2718204488778</v>
      </c>
      <c r="T161" s="88">
        <v>515.3466444814198</v>
      </c>
      <c r="U161" s="106"/>
      <c r="V161" s="88">
        <v>501.8920335429769</v>
      </c>
      <c r="W161" s="88">
        <v>512.4169921875</v>
      </c>
      <c r="X161" s="88">
        <v>739.7591522157996</v>
      </c>
      <c r="Y161" s="88">
        <v>683.3848314606741</v>
      </c>
      <c r="Z161" s="106"/>
      <c r="AA161" s="88">
        <v>669.1240875912409</v>
      </c>
      <c r="AB161" s="88">
        <v>674.5130748422001</v>
      </c>
      <c r="AC161" s="88">
        <v>685</v>
      </c>
      <c r="AD161" s="88">
        <v>762</v>
      </c>
      <c r="AE161" s="106"/>
      <c r="AF161" s="88">
        <v>758</v>
      </c>
      <c r="AG161" s="88">
        <v>730</v>
      </c>
      <c r="AH161" s="88">
        <v>788</v>
      </c>
      <c r="AI161" s="88">
        <v>835</v>
      </c>
      <c r="AJ161" s="106"/>
      <c r="AK161" s="88">
        <v>921</v>
      </c>
      <c r="AL161" s="88">
        <v>1028</v>
      </c>
      <c r="AM161" s="88">
        <v>956</v>
      </c>
      <c r="AN161" s="88">
        <v>884</v>
      </c>
      <c r="AO161" s="106"/>
      <c r="AP161" s="88">
        <v>720</v>
      </c>
      <c r="AQ161" s="88">
        <v>3369</v>
      </c>
      <c r="AR161" s="88">
        <v>836</v>
      </c>
      <c r="AS161" s="100"/>
      <c r="AT161" s="88">
        <v>883</v>
      </c>
      <c r="AU161" s="100"/>
      <c r="AV161" s="106"/>
      <c r="AW161" s="300">
        <v>886</v>
      </c>
      <c r="AX161" s="88">
        <v>848</v>
      </c>
      <c r="AY161" s="88">
        <v>759</v>
      </c>
      <c r="AZ161" s="88">
        <v>698</v>
      </c>
      <c r="BA161" s="100"/>
      <c r="BB161" s="100"/>
      <c r="BC161" s="88">
        <v>899</v>
      </c>
      <c r="BD161" s="106"/>
      <c r="BE161" s="378"/>
      <c r="BF161" s="106"/>
      <c r="BG161" s="106"/>
      <c r="BH161" s="106"/>
      <c r="BI161" s="106"/>
      <c r="BJ161" s="106"/>
      <c r="BK161" s="106"/>
      <c r="BL161" s="106"/>
      <c r="BM161" s="106"/>
      <c r="BN161" s="106"/>
      <c r="BO161" s="106"/>
      <c r="BP161" s="106"/>
      <c r="BQ161" s="106"/>
      <c r="BR161" s="106"/>
      <c r="BS161" s="106"/>
      <c r="BT161" s="106"/>
      <c r="BU161" s="106"/>
      <c r="BV161" s="106"/>
      <c r="BW161" s="106"/>
    </row>
    <row r="162" spans="1:75" ht="12.75">
      <c r="A162" s="183" t="s">
        <v>193</v>
      </c>
      <c r="B162" s="88">
        <v>705.224570673712</v>
      </c>
      <c r="C162" s="88">
        <v>744.8434237995825</v>
      </c>
      <c r="D162" s="88">
        <v>759.107714184145</v>
      </c>
      <c r="E162" s="88">
        <v>710.6989247311828</v>
      </c>
      <c r="F162" s="106"/>
      <c r="G162" s="88">
        <v>690.6554441260745</v>
      </c>
      <c r="H162" s="88">
        <v>743.599513579246</v>
      </c>
      <c r="I162" s="88">
        <v>730.7033144704931</v>
      </c>
      <c r="J162" s="88">
        <v>825.714920071048</v>
      </c>
      <c r="K162" s="106"/>
      <c r="L162" s="88">
        <v>792.4845814977973</v>
      </c>
      <c r="M162" s="88">
        <v>1593.7854077253219</v>
      </c>
      <c r="N162" s="88">
        <v>1643.0751604032998</v>
      </c>
      <c r="O162" s="88">
        <v>1918.2539682539682</v>
      </c>
      <c r="P162" s="106"/>
      <c r="Q162" s="88">
        <v>2111.246931762396</v>
      </c>
      <c r="R162" s="88">
        <v>2096.1685823754788</v>
      </c>
      <c r="S162" s="88">
        <v>2211.795511221945</v>
      </c>
      <c r="T162" s="88">
        <v>2579.778147531891</v>
      </c>
      <c r="U162" s="106"/>
      <c r="V162" s="88">
        <v>2441.4150943396226</v>
      </c>
      <c r="W162" s="88">
        <v>2436.2158203125</v>
      </c>
      <c r="X162" s="88">
        <v>2381.315028901734</v>
      </c>
      <c r="Y162" s="88">
        <v>2415.5149812734085</v>
      </c>
      <c r="Z162" s="106"/>
      <c r="AA162" s="88">
        <v>2362.750912408759</v>
      </c>
      <c r="AB162" s="88">
        <v>2368.728584310189</v>
      </c>
      <c r="AC162" s="88">
        <v>2444</v>
      </c>
      <c r="AD162" s="88">
        <v>2693</v>
      </c>
      <c r="AE162" s="106"/>
      <c r="AF162" s="88">
        <v>2858</v>
      </c>
      <c r="AG162" s="88">
        <v>2859</v>
      </c>
      <c r="AH162" s="88">
        <v>2948</v>
      </c>
      <c r="AI162" s="88">
        <v>3859</v>
      </c>
      <c r="AJ162" s="106"/>
      <c r="AK162" s="88">
        <v>4102</v>
      </c>
      <c r="AL162" s="88">
        <v>4454</v>
      </c>
      <c r="AM162" s="88">
        <v>3970</v>
      </c>
      <c r="AN162" s="88">
        <v>3986</v>
      </c>
      <c r="AO162" s="106"/>
      <c r="AP162" s="88">
        <v>3550</v>
      </c>
      <c r="AQ162" s="88">
        <v>5253</v>
      </c>
      <c r="AR162" s="88">
        <v>4078</v>
      </c>
      <c r="AS162" s="100"/>
      <c r="AT162" s="88">
        <v>3990</v>
      </c>
      <c r="AU162" s="100"/>
      <c r="AV162" s="106"/>
      <c r="AW162" s="300">
        <v>3994</v>
      </c>
      <c r="AX162" s="88">
        <v>3668</v>
      </c>
      <c r="AY162" s="88">
        <v>3247</v>
      </c>
      <c r="AZ162" s="88">
        <v>3117</v>
      </c>
      <c r="BA162" s="100"/>
      <c r="BB162" s="100"/>
      <c r="BC162" s="88">
        <v>3494</v>
      </c>
      <c r="BD162" s="106"/>
      <c r="BE162" s="378"/>
      <c r="BF162" s="106"/>
      <c r="BG162" s="106"/>
      <c r="BH162" s="106"/>
      <c r="BI162" s="106"/>
      <c r="BJ162" s="106"/>
      <c r="BK162" s="106"/>
      <c r="BL162" s="106"/>
      <c r="BM162" s="106"/>
      <c r="BN162" s="106"/>
      <c r="BO162" s="106"/>
      <c r="BP162" s="106"/>
      <c r="BQ162" s="106"/>
      <c r="BR162" s="106"/>
      <c r="BS162" s="106"/>
      <c r="BT162" s="106"/>
      <c r="BU162" s="106"/>
      <c r="BV162" s="106"/>
      <c r="BW162" s="106"/>
    </row>
    <row r="163" spans="1:75" ht="12.75">
      <c r="A163" s="183" t="s">
        <v>194</v>
      </c>
      <c r="B163" s="88">
        <v>372.1036988110964</v>
      </c>
      <c r="C163" s="88">
        <v>370.46624913013227</v>
      </c>
      <c r="D163" s="88">
        <v>371.71347316032706</v>
      </c>
      <c r="E163" s="88">
        <v>371.0537634408602</v>
      </c>
      <c r="F163" s="106"/>
      <c r="G163" s="88">
        <v>364.724212034384</v>
      </c>
      <c r="H163" s="88">
        <v>408.7515200648561</v>
      </c>
      <c r="I163" s="88">
        <v>405.5658852061439</v>
      </c>
      <c r="J163" s="88">
        <v>448.2815275310835</v>
      </c>
      <c r="K163" s="106"/>
      <c r="L163" s="88">
        <v>502.3832599118943</v>
      </c>
      <c r="M163" s="88">
        <v>488.2618025751073</v>
      </c>
      <c r="N163" s="88">
        <v>457.9880843263062</v>
      </c>
      <c r="O163" s="88">
        <v>505.29100529100526</v>
      </c>
      <c r="P163" s="106"/>
      <c r="Q163" s="88">
        <v>505.86647029946</v>
      </c>
      <c r="R163" s="88">
        <v>493.9655172413793</v>
      </c>
      <c r="S163" s="88">
        <v>520.7730673316709</v>
      </c>
      <c r="T163" s="88">
        <v>621.7138103161398</v>
      </c>
      <c r="U163" s="106"/>
      <c r="V163" s="88">
        <v>602.9035639412998</v>
      </c>
      <c r="W163" s="88">
        <v>574.27734375</v>
      </c>
      <c r="X163" s="88">
        <v>581.3680154142583</v>
      </c>
      <c r="Y163" s="88">
        <v>900.4868913857678</v>
      </c>
      <c r="Z163" s="106"/>
      <c r="AA163" s="88">
        <v>337.4954379562044</v>
      </c>
      <c r="AB163" s="88">
        <v>342.68710550045085</v>
      </c>
      <c r="AC163" s="88">
        <v>356</v>
      </c>
      <c r="AD163" s="88">
        <v>1004</v>
      </c>
      <c r="AE163" s="106"/>
      <c r="AF163" s="88">
        <v>420</v>
      </c>
      <c r="AG163" s="88">
        <v>428</v>
      </c>
      <c r="AH163" s="88">
        <v>478</v>
      </c>
      <c r="AI163" s="88">
        <v>583</v>
      </c>
      <c r="AJ163" s="106"/>
      <c r="AK163" s="88">
        <v>722</v>
      </c>
      <c r="AL163" s="88">
        <v>1021</v>
      </c>
      <c r="AM163" s="88">
        <v>1125</v>
      </c>
      <c r="AN163" s="88">
        <v>1234</v>
      </c>
      <c r="AO163" s="106"/>
      <c r="AP163" s="88">
        <v>1109</v>
      </c>
      <c r="AQ163" s="88">
        <v>1366</v>
      </c>
      <c r="AR163" s="88">
        <v>1472</v>
      </c>
      <c r="AS163" s="100"/>
      <c r="AT163" s="88">
        <v>1553</v>
      </c>
      <c r="AU163" s="100"/>
      <c r="AV163" s="106"/>
      <c r="AW163" s="300">
        <v>1902</v>
      </c>
      <c r="AX163" s="88">
        <v>1608</v>
      </c>
      <c r="AY163" s="88">
        <v>1757</v>
      </c>
      <c r="AZ163" s="88">
        <v>1807</v>
      </c>
      <c r="BA163" s="100"/>
      <c r="BB163" s="100"/>
      <c r="BC163" s="88">
        <v>2060</v>
      </c>
      <c r="BD163" s="106"/>
      <c r="BE163" s="378"/>
      <c r="BF163" s="106"/>
      <c r="BG163" s="106"/>
      <c r="BH163" s="106"/>
      <c r="BI163" s="106"/>
      <c r="BJ163" s="106"/>
      <c r="BK163" s="106"/>
      <c r="BL163" s="106"/>
      <c r="BM163" s="106"/>
      <c r="BN163" s="106"/>
      <c r="BO163" s="106"/>
      <c r="BP163" s="106"/>
      <c r="BQ163" s="106"/>
      <c r="BR163" s="106"/>
      <c r="BS163" s="106"/>
      <c r="BT163" s="106"/>
      <c r="BU163" s="106"/>
      <c r="BV163" s="106"/>
      <c r="BW163" s="106"/>
    </row>
    <row r="164" spans="1:75" ht="12.75">
      <c r="A164" s="183" t="s">
        <v>62</v>
      </c>
      <c r="B164" s="88">
        <v>310.15852047556143</v>
      </c>
      <c r="C164" s="88">
        <v>303.46207376478776</v>
      </c>
      <c r="D164" s="88">
        <v>308.8517596871667</v>
      </c>
      <c r="E164" s="88">
        <v>309.15770609319</v>
      </c>
      <c r="F164" s="106"/>
      <c r="G164" s="88">
        <v>275.8452722063037</v>
      </c>
      <c r="H164" s="88">
        <v>338.6461289014998</v>
      </c>
      <c r="I164" s="88">
        <v>317.70008084074374</v>
      </c>
      <c r="J164" s="88">
        <v>330.11101243339255</v>
      </c>
      <c r="K164" s="106"/>
      <c r="L164" s="88">
        <v>402.18502202643174</v>
      </c>
      <c r="M164" s="88">
        <v>605.7210300429184</v>
      </c>
      <c r="N164" s="88">
        <v>721.5627864344639</v>
      </c>
      <c r="O164" s="88">
        <v>850.00481000481</v>
      </c>
      <c r="P164" s="106"/>
      <c r="Q164" s="88">
        <v>815.4099165439372</v>
      </c>
      <c r="R164" s="88">
        <v>896.7816091954022</v>
      </c>
      <c r="S164" s="88">
        <v>963.2568578553615</v>
      </c>
      <c r="T164" s="88">
        <v>1073.4220743205767</v>
      </c>
      <c r="U164" s="106"/>
      <c r="V164" s="88">
        <v>993.1551362683438</v>
      </c>
      <c r="W164" s="88">
        <v>905.3271484375</v>
      </c>
      <c r="X164" s="88">
        <v>964.8603082851638</v>
      </c>
      <c r="Y164" s="88">
        <v>945.8426966292135</v>
      </c>
      <c r="Z164" s="106"/>
      <c r="AA164" s="88">
        <v>923.7728102189782</v>
      </c>
      <c r="AB164" s="88">
        <v>909.7385031559963</v>
      </c>
      <c r="AC164" s="88">
        <v>918</v>
      </c>
      <c r="AD164" s="88">
        <v>1054</v>
      </c>
      <c r="AE164" s="106"/>
      <c r="AF164" s="88">
        <v>1037</v>
      </c>
      <c r="AG164" s="88">
        <v>1032</v>
      </c>
      <c r="AH164" s="88">
        <v>1058</v>
      </c>
      <c r="AI164" s="88">
        <v>1079</v>
      </c>
      <c r="AJ164" s="106"/>
      <c r="AK164" s="88">
        <v>1126</v>
      </c>
      <c r="AL164" s="88">
        <v>1214</v>
      </c>
      <c r="AM164" s="88">
        <v>1065</v>
      </c>
      <c r="AN164" s="88">
        <v>972</v>
      </c>
      <c r="AO164" s="106"/>
      <c r="AP164" s="88">
        <v>808</v>
      </c>
      <c r="AQ164" s="88">
        <v>953</v>
      </c>
      <c r="AR164" s="88">
        <v>994</v>
      </c>
      <c r="AS164" s="100"/>
      <c r="AT164" s="88">
        <v>972</v>
      </c>
      <c r="AU164" s="100"/>
      <c r="AV164" s="106"/>
      <c r="AW164" s="300">
        <v>973</v>
      </c>
      <c r="AX164" s="88">
        <v>906</v>
      </c>
      <c r="AY164" s="88">
        <v>780</v>
      </c>
      <c r="AZ164" s="88">
        <v>760</v>
      </c>
      <c r="BA164" s="100"/>
      <c r="BB164" s="100"/>
      <c r="BC164" s="88">
        <v>846</v>
      </c>
      <c r="BD164" s="106"/>
      <c r="BE164" s="378"/>
      <c r="BF164" s="106"/>
      <c r="BG164" s="106"/>
      <c r="BH164" s="106"/>
      <c r="BI164" s="106"/>
      <c r="BJ164" s="106"/>
      <c r="BK164" s="106"/>
      <c r="BL164" s="106"/>
      <c r="BM164" s="106"/>
      <c r="BN164" s="106"/>
      <c r="BO164" s="106"/>
      <c r="BP164" s="106"/>
      <c r="BQ164" s="106"/>
      <c r="BR164" s="106"/>
      <c r="BS164" s="106"/>
      <c r="BT164" s="106"/>
      <c r="BU164" s="106"/>
      <c r="BV164" s="106"/>
      <c r="BW164" s="106"/>
    </row>
    <row r="165" spans="1:75" ht="12.75">
      <c r="A165" s="183" t="s">
        <v>195</v>
      </c>
      <c r="B165" s="88">
        <v>82.64531043593131</v>
      </c>
      <c r="C165" s="88">
        <v>83.89352818371609</v>
      </c>
      <c r="D165" s="88">
        <v>87.65375044436544</v>
      </c>
      <c r="E165" s="88">
        <v>85.1326164874552</v>
      </c>
      <c r="F165" s="106"/>
      <c r="G165" s="88">
        <v>108.64255014326648</v>
      </c>
      <c r="H165" s="88">
        <v>93.60762059181192</v>
      </c>
      <c r="I165" s="88">
        <v>113.36297493936944</v>
      </c>
      <c r="J165" s="88">
        <v>173.10390763765542</v>
      </c>
      <c r="K165" s="106"/>
      <c r="L165" s="88">
        <v>125.60352422907489</v>
      </c>
      <c r="M165" s="88">
        <v>271.6523605150215</v>
      </c>
      <c r="N165" s="88">
        <v>331.4298808432631</v>
      </c>
      <c r="O165" s="88">
        <v>356.6281866281866</v>
      </c>
      <c r="P165" s="106"/>
      <c r="Q165" s="88">
        <v>277.94305351006386</v>
      </c>
      <c r="R165" s="88">
        <v>270</v>
      </c>
      <c r="S165" s="88">
        <v>276.33915211970077</v>
      </c>
      <c r="T165" s="88">
        <v>340.46034387132556</v>
      </c>
      <c r="U165" s="106"/>
      <c r="V165" s="88">
        <v>320.50314465408803</v>
      </c>
      <c r="W165" s="88">
        <v>328.798828125</v>
      </c>
      <c r="X165" s="88">
        <v>267.71194605009634</v>
      </c>
      <c r="Y165" s="88">
        <v>264.2883895131086</v>
      </c>
      <c r="Z165" s="106"/>
      <c r="AA165" s="88">
        <v>265.92153284671537</v>
      </c>
      <c r="AB165" s="88">
        <v>259.8647430117223</v>
      </c>
      <c r="AC165" s="88">
        <v>276</v>
      </c>
      <c r="AD165" s="88">
        <v>295</v>
      </c>
      <c r="AE165" s="106"/>
      <c r="AF165" s="88">
        <v>346</v>
      </c>
      <c r="AG165" s="88">
        <v>344</v>
      </c>
      <c r="AH165" s="88">
        <v>374</v>
      </c>
      <c r="AI165" s="88">
        <v>444</v>
      </c>
      <c r="AJ165" s="106"/>
      <c r="AK165" s="88">
        <v>481</v>
      </c>
      <c r="AL165" s="88">
        <v>524</v>
      </c>
      <c r="AM165" s="88">
        <v>465</v>
      </c>
      <c r="AN165" s="88">
        <v>459</v>
      </c>
      <c r="AO165" s="106"/>
      <c r="AP165" s="88">
        <v>378</v>
      </c>
      <c r="AQ165" s="88">
        <v>576</v>
      </c>
      <c r="AR165" s="88">
        <v>435</v>
      </c>
      <c r="AS165" s="100"/>
      <c r="AT165" s="88">
        <v>394</v>
      </c>
      <c r="AU165" s="100"/>
      <c r="AV165" s="106"/>
      <c r="AW165" s="300">
        <v>388</v>
      </c>
      <c r="AX165" s="88">
        <v>365</v>
      </c>
      <c r="AY165" s="88">
        <v>310</v>
      </c>
      <c r="AZ165" s="88">
        <v>301</v>
      </c>
      <c r="BA165" s="100"/>
      <c r="BB165" s="100"/>
      <c r="BC165" s="88">
        <v>338</v>
      </c>
      <c r="BD165" s="106"/>
      <c r="BE165" s="378"/>
      <c r="BF165" s="106"/>
      <c r="BG165" s="106"/>
      <c r="BH165" s="106"/>
      <c r="BI165" s="106"/>
      <c r="BJ165" s="106"/>
      <c r="BK165" s="106"/>
      <c r="BL165" s="106"/>
      <c r="BM165" s="106"/>
      <c r="BN165" s="106"/>
      <c r="BO165" s="106"/>
      <c r="BP165" s="106"/>
      <c r="BQ165" s="106"/>
      <c r="BR165" s="106"/>
      <c r="BS165" s="106"/>
      <c r="BT165" s="106"/>
      <c r="BU165" s="106"/>
      <c r="BV165" s="106"/>
      <c r="BW165" s="106"/>
    </row>
    <row r="166" spans="1:75" ht="12.75">
      <c r="A166" s="183" t="s">
        <v>452</v>
      </c>
      <c r="B166" s="88"/>
      <c r="C166" s="88"/>
      <c r="D166" s="88"/>
      <c r="E166" s="88"/>
      <c r="F166" s="106"/>
      <c r="G166" s="88"/>
      <c r="H166" s="88"/>
      <c r="I166" s="88"/>
      <c r="J166" s="88"/>
      <c r="K166" s="106"/>
      <c r="L166" s="88"/>
      <c r="M166" s="88"/>
      <c r="N166" s="88"/>
      <c r="O166" s="88"/>
      <c r="P166" s="106"/>
      <c r="Q166" s="88"/>
      <c r="R166" s="88"/>
      <c r="S166" s="88"/>
      <c r="T166" s="88"/>
      <c r="U166" s="106"/>
      <c r="V166" s="88"/>
      <c r="W166" s="88"/>
      <c r="X166" s="88"/>
      <c r="Y166" s="88"/>
      <c r="Z166" s="106"/>
      <c r="AA166" s="88"/>
      <c r="AB166" s="88"/>
      <c r="AC166" s="88"/>
      <c r="AD166" s="88"/>
      <c r="AE166" s="106"/>
      <c r="AF166" s="88"/>
      <c r="AG166" s="88"/>
      <c r="AH166" s="88"/>
      <c r="AI166" s="88"/>
      <c r="AJ166" s="106"/>
      <c r="AK166" s="88"/>
      <c r="AL166" s="88"/>
      <c r="AM166" s="88"/>
      <c r="AN166" s="88"/>
      <c r="AO166" s="106"/>
      <c r="AP166" s="88"/>
      <c r="AQ166" s="88"/>
      <c r="AR166" s="88"/>
      <c r="AS166" s="100"/>
      <c r="AT166" s="88"/>
      <c r="AU166" s="100"/>
      <c r="AV166" s="106"/>
      <c r="AW166" s="300">
        <v>-357</v>
      </c>
      <c r="AX166" s="88"/>
      <c r="AY166" s="88">
        <v>-284</v>
      </c>
      <c r="AZ166" s="88">
        <v>-279</v>
      </c>
      <c r="BA166" s="100"/>
      <c r="BB166" s="100"/>
      <c r="BC166" s="88">
        <v>-309</v>
      </c>
      <c r="BD166" s="106"/>
      <c r="BE166" s="378"/>
      <c r="BF166" s="106"/>
      <c r="BG166" s="106"/>
      <c r="BH166" s="106"/>
      <c r="BI166" s="106"/>
      <c r="BJ166" s="106"/>
      <c r="BK166" s="106"/>
      <c r="BL166" s="106"/>
      <c r="BM166" s="106"/>
      <c r="BN166" s="106"/>
      <c r="BO166" s="106"/>
      <c r="BP166" s="106"/>
      <c r="BQ166" s="106"/>
      <c r="BR166" s="106"/>
      <c r="BS166" s="106"/>
      <c r="BT166" s="106"/>
      <c r="BU166" s="106"/>
      <c r="BV166" s="106"/>
      <c r="BW166" s="106"/>
    </row>
    <row r="167" spans="1:75" s="116" customFormat="1" ht="12.75">
      <c r="A167" s="185" t="s">
        <v>205</v>
      </c>
      <c r="B167" s="96">
        <v>1754.9108322324967</v>
      </c>
      <c r="C167" s="96">
        <v>1793.639526791928</v>
      </c>
      <c r="D167" s="96">
        <v>1818.7451119800926</v>
      </c>
      <c r="E167" s="96">
        <v>1751.9354838709678</v>
      </c>
      <c r="F167" s="108"/>
      <c r="G167" s="96">
        <v>1706.5938395415474</v>
      </c>
      <c r="H167" s="96">
        <v>1878.946088366437</v>
      </c>
      <c r="I167" s="96">
        <v>1848.3144704931285</v>
      </c>
      <c r="J167" s="96">
        <v>2099.196269982238</v>
      </c>
      <c r="K167" s="108"/>
      <c r="L167" s="96">
        <v>2125.797356828194</v>
      </c>
      <c r="M167" s="96">
        <v>3378.3261802575103</v>
      </c>
      <c r="N167" s="96">
        <v>3615.1099908340975</v>
      </c>
      <c r="O167" s="96">
        <v>4117.128427128428</v>
      </c>
      <c r="P167" s="108"/>
      <c r="Q167" s="96">
        <v>4190.049091801669</v>
      </c>
      <c r="R167" s="96">
        <v>4208.716475095785</v>
      </c>
      <c r="S167" s="96">
        <v>4425.436408977556</v>
      </c>
      <c r="T167" s="96">
        <v>5130.721020521353</v>
      </c>
      <c r="U167" s="108"/>
      <c r="V167" s="96">
        <v>4859.868972746332</v>
      </c>
      <c r="W167" s="96">
        <v>4757.0361328125</v>
      </c>
      <c r="X167" s="96">
        <v>4935.014450867052</v>
      </c>
      <c r="Y167" s="96">
        <v>5209.517790262173</v>
      </c>
      <c r="Z167" s="108"/>
      <c r="AA167" s="96">
        <v>4559.064781021898</v>
      </c>
      <c r="AB167" s="96">
        <v>4555.532010820559</v>
      </c>
      <c r="AC167" s="96">
        <v>4678</v>
      </c>
      <c r="AD167" s="96">
        <v>5808</v>
      </c>
      <c r="AE167" s="108"/>
      <c r="AF167" s="96">
        <v>5419</v>
      </c>
      <c r="AG167" s="96">
        <v>5393</v>
      </c>
      <c r="AH167" s="96">
        <v>5646</v>
      </c>
      <c r="AI167" s="96">
        <v>6800</v>
      </c>
      <c r="AJ167" s="108"/>
      <c r="AK167" s="96">
        <v>7352</v>
      </c>
      <c r="AL167" s="96">
        <v>8241</v>
      </c>
      <c r="AM167" s="96">
        <v>7581</v>
      </c>
      <c r="AN167" s="96">
        <v>7535</v>
      </c>
      <c r="AO167" s="108"/>
      <c r="AP167" s="96">
        <v>6565</v>
      </c>
      <c r="AQ167" s="96">
        <v>11517</v>
      </c>
      <c r="AR167" s="96">
        <v>7815</v>
      </c>
      <c r="AS167" s="100"/>
      <c r="AT167" s="88">
        <v>7792</v>
      </c>
      <c r="AU167" s="100"/>
      <c r="AV167" s="108"/>
      <c r="AW167" s="308">
        <v>7786</v>
      </c>
      <c r="AX167" s="96">
        <v>7395</v>
      </c>
      <c r="AY167" s="96">
        <v>6569</v>
      </c>
      <c r="AZ167" s="96">
        <v>6404</v>
      </c>
      <c r="BA167" s="294"/>
      <c r="BB167" s="294"/>
      <c r="BC167" s="96">
        <v>7328</v>
      </c>
      <c r="BD167" s="108"/>
      <c r="BE167" s="386"/>
      <c r="BF167" s="108"/>
      <c r="BG167" s="108"/>
      <c r="BH167" s="108"/>
      <c r="BI167" s="108"/>
      <c r="BJ167" s="108"/>
      <c r="BK167" s="108"/>
      <c r="BL167" s="108"/>
      <c r="BM167" s="108"/>
      <c r="BN167" s="108"/>
      <c r="BO167" s="108"/>
      <c r="BP167" s="108"/>
      <c r="BQ167" s="108"/>
      <c r="BR167" s="108"/>
      <c r="BS167" s="108"/>
      <c r="BT167" s="108"/>
      <c r="BU167" s="108"/>
      <c r="BV167" s="108"/>
      <c r="BW167" s="108"/>
    </row>
    <row r="168" spans="1:75" s="116" customFormat="1" ht="12.75">
      <c r="A168" s="125"/>
      <c r="AS168" s="302"/>
      <c r="AU168" s="302"/>
      <c r="AW168" s="302"/>
      <c r="AX168" s="91"/>
      <c r="AY168" s="91"/>
      <c r="AZ168" s="91"/>
      <c r="BA168" s="290"/>
      <c r="BB168" s="290"/>
      <c r="BC168" s="91"/>
      <c r="BE168" s="371"/>
      <c r="BF168" s="91"/>
      <c r="BG168" s="91"/>
      <c r="BH168" s="91"/>
      <c r="BI168" s="91"/>
      <c r="BJ168" s="91"/>
      <c r="BK168" s="91"/>
      <c r="BL168" s="91"/>
      <c r="BM168" s="91"/>
      <c r="BN168" s="91"/>
      <c r="BO168" s="91"/>
      <c r="BP168" s="91"/>
      <c r="BQ168" s="91"/>
      <c r="BR168" s="91"/>
      <c r="BS168" s="91"/>
      <c r="BT168" s="91"/>
      <c r="BU168" s="91"/>
      <c r="BV168" s="91"/>
      <c r="BW168" s="91"/>
    </row>
    <row r="169" spans="1:75" ht="12.75">
      <c r="A169" s="131" t="s">
        <v>301</v>
      </c>
      <c r="AF169" s="91">
        <v>186.1</v>
      </c>
      <c r="AG169" s="91">
        <v>182.7</v>
      </c>
      <c r="AH169" s="91">
        <v>176.8</v>
      </c>
      <c r="AI169" s="91">
        <v>172.6</v>
      </c>
      <c r="AK169" s="91">
        <v>163.9</v>
      </c>
      <c r="AS169" s="312"/>
      <c r="AT169" s="135">
        <v>188.1</v>
      </c>
      <c r="AU169" s="312"/>
      <c r="AW169" s="290">
        <v>188.1</v>
      </c>
      <c r="AX169" s="135">
        <v>198</v>
      </c>
      <c r="AY169" s="135">
        <v>234.5</v>
      </c>
      <c r="AZ169" s="135">
        <v>203.43</v>
      </c>
      <c r="BA169" s="312"/>
      <c r="BB169" s="312"/>
      <c r="BC169" s="135">
        <v>208.7</v>
      </c>
      <c r="BE169" s="393"/>
      <c r="BF169" s="135"/>
      <c r="BG169" s="135"/>
      <c r="BH169" s="135"/>
      <c r="BI169" s="135"/>
      <c r="BJ169" s="135"/>
      <c r="BK169" s="135"/>
      <c r="BL169" s="135"/>
      <c r="BM169" s="135"/>
      <c r="BN169" s="135"/>
      <c r="BO169" s="135"/>
      <c r="BP169" s="135"/>
      <c r="BQ169" s="135"/>
      <c r="BR169" s="135"/>
      <c r="BS169" s="135"/>
      <c r="BT169" s="135"/>
      <c r="BU169" s="135"/>
      <c r="BV169" s="135"/>
      <c r="BW169" s="135"/>
    </row>
    <row r="170" ht="116.25">
      <c r="A170" s="130" t="s">
        <v>320</v>
      </c>
    </row>
    <row r="171" ht="129">
      <c r="A171" s="130" t="s">
        <v>321</v>
      </c>
    </row>
    <row r="172" ht="12.75"/>
    <row r="173" ht="12.75">
      <c r="A173" s="3" t="s">
        <v>478</v>
      </c>
    </row>
  </sheetData>
  <sheetProtection/>
  <printOptions/>
  <pageMargins left="0.75" right="0.75" top="1" bottom="1" header="0.5" footer="0.5"/>
  <pageSetup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BW50"/>
  <sheetViews>
    <sheetView showGridLines="0" zoomScalePageLayoutView="0" workbookViewId="0" topLeftCell="A1">
      <pane xSplit="1" ySplit="1" topLeftCell="BM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zeroHeight="1"/>
  <cols>
    <col min="1" max="1" width="47.28125" style="0" customWidth="1"/>
    <col min="45" max="45" width="11.8515625" style="314" customWidth="1"/>
    <col min="47" max="47" width="9.140625" style="314" customWidth="1"/>
    <col min="49" max="49" width="9.140625" style="314" customWidth="1"/>
    <col min="53" max="53" width="9.140625" style="314" customWidth="1"/>
    <col min="54" max="54" width="11.28125" style="314" customWidth="1"/>
    <col min="55" max="55" width="9.00390625" style="0" customWidth="1"/>
    <col min="57" max="57" width="10.00390625" style="394" customWidth="1"/>
    <col min="58" max="59" width="10.00390625" style="462" customWidth="1"/>
    <col min="60" max="60" width="10.28125" style="0" customWidth="1"/>
    <col min="61" max="61" width="11.421875" style="0" customWidth="1"/>
    <col min="62" max="62" width="10.8515625" style="0" customWidth="1"/>
    <col min="63" max="63" width="13.7109375" style="0" customWidth="1"/>
    <col min="64" max="64" width="11.140625" style="0" bestFit="1" customWidth="1"/>
    <col min="65" max="67" width="10.28125" style="0" customWidth="1"/>
    <col min="68" max="69" width="11.140625" style="0" bestFit="1" customWidth="1"/>
    <col min="70" max="70" width="13.7109375" style="0" customWidth="1"/>
    <col min="71" max="74" width="10.28125" style="0" customWidth="1"/>
    <col min="75" max="75" width="13.7109375" style="0" customWidth="1"/>
  </cols>
  <sheetData>
    <row r="1" spans="1:75" s="255" customFormat="1" ht="26.25" customHeight="1">
      <c r="A1" s="254" t="s">
        <v>525</v>
      </c>
      <c r="B1" s="90" t="s">
        <v>2</v>
      </c>
      <c r="C1" s="90" t="s">
        <v>3</v>
      </c>
      <c r="D1" s="90" t="s">
        <v>4</v>
      </c>
      <c r="E1" s="90" t="s">
        <v>5</v>
      </c>
      <c r="F1" s="90" t="s">
        <v>6</v>
      </c>
      <c r="G1" s="90" t="s">
        <v>12</v>
      </c>
      <c r="H1" s="90" t="s">
        <v>13</v>
      </c>
      <c r="I1" s="90" t="s">
        <v>14</v>
      </c>
      <c r="J1" s="90" t="s">
        <v>15</v>
      </c>
      <c r="K1" s="90" t="s">
        <v>16</v>
      </c>
      <c r="L1" s="90" t="s">
        <v>17</v>
      </c>
      <c r="M1" s="90" t="s">
        <v>18</v>
      </c>
      <c r="N1" s="90" t="s">
        <v>19</v>
      </c>
      <c r="O1" s="90" t="s">
        <v>20</v>
      </c>
      <c r="P1" s="90" t="s">
        <v>21</v>
      </c>
      <c r="Q1" s="90" t="s">
        <v>22</v>
      </c>
      <c r="R1" s="90" t="s">
        <v>23</v>
      </c>
      <c r="S1" s="90" t="s">
        <v>24</v>
      </c>
      <c r="T1" s="90" t="s">
        <v>25</v>
      </c>
      <c r="U1" s="90" t="s">
        <v>26</v>
      </c>
      <c r="V1" s="90" t="s">
        <v>27</v>
      </c>
      <c r="W1" s="90" t="s">
        <v>28</v>
      </c>
      <c r="X1" s="90" t="s">
        <v>29</v>
      </c>
      <c r="Y1" s="90" t="s">
        <v>30</v>
      </c>
      <c r="Z1" s="90" t="s">
        <v>31</v>
      </c>
      <c r="AA1" s="90" t="s">
        <v>32</v>
      </c>
      <c r="AB1" s="90" t="s">
        <v>33</v>
      </c>
      <c r="AC1" s="90" t="s">
        <v>34</v>
      </c>
      <c r="AD1" s="90" t="s">
        <v>271</v>
      </c>
      <c r="AE1" s="90" t="s">
        <v>272</v>
      </c>
      <c r="AF1" s="90" t="s">
        <v>274</v>
      </c>
      <c r="AG1" s="90" t="s">
        <v>276</v>
      </c>
      <c r="AH1" s="90" t="s">
        <v>278</v>
      </c>
      <c r="AI1" s="90" t="s">
        <v>280</v>
      </c>
      <c r="AJ1" s="90" t="s">
        <v>281</v>
      </c>
      <c r="AK1" s="90" t="s">
        <v>289</v>
      </c>
      <c r="AL1" s="90" t="s">
        <v>290</v>
      </c>
      <c r="AM1" s="90" t="s">
        <v>291</v>
      </c>
      <c r="AN1" s="90" t="s">
        <v>292</v>
      </c>
      <c r="AO1" s="90" t="s">
        <v>293</v>
      </c>
      <c r="AP1" s="90" t="s">
        <v>329</v>
      </c>
      <c r="AQ1" s="90" t="s">
        <v>330</v>
      </c>
      <c r="AR1" s="90" t="s">
        <v>331</v>
      </c>
      <c r="AS1" s="289" t="s">
        <v>490</v>
      </c>
      <c r="AT1" s="90" t="s">
        <v>332</v>
      </c>
      <c r="AU1" s="289" t="s">
        <v>477</v>
      </c>
      <c r="AV1" s="90" t="s">
        <v>333</v>
      </c>
      <c r="AW1" s="289" t="s">
        <v>460</v>
      </c>
      <c r="AX1" s="90" t="s">
        <v>448</v>
      </c>
      <c r="AY1" s="90" t="s">
        <v>451</v>
      </c>
      <c r="AZ1" s="90" t="s">
        <v>453</v>
      </c>
      <c r="BA1" s="289" t="s">
        <v>466</v>
      </c>
      <c r="BB1" s="289" t="s">
        <v>491</v>
      </c>
      <c r="BC1" s="90" t="s">
        <v>454</v>
      </c>
      <c r="BD1" s="90" t="s">
        <v>457</v>
      </c>
      <c r="BE1" s="342" t="s">
        <v>492</v>
      </c>
      <c r="BF1" s="7" t="s">
        <v>553</v>
      </c>
      <c r="BG1" s="7" t="s">
        <v>560</v>
      </c>
      <c r="BH1" s="7" t="s">
        <v>493</v>
      </c>
      <c r="BI1" s="7" t="s">
        <v>582</v>
      </c>
      <c r="BJ1" s="7" t="s">
        <v>494</v>
      </c>
      <c r="BK1" s="7" t="s">
        <v>573</v>
      </c>
      <c r="BL1" s="7" t="s">
        <v>495</v>
      </c>
      <c r="BM1" s="7" t="s">
        <v>554</v>
      </c>
      <c r="BN1" s="7" t="s">
        <v>611</v>
      </c>
      <c r="BO1" s="7" t="s">
        <v>561</v>
      </c>
      <c r="BP1" s="7" t="s">
        <v>572</v>
      </c>
      <c r="BQ1" s="7" t="s">
        <v>570</v>
      </c>
      <c r="BR1" s="7" t="s">
        <v>574</v>
      </c>
      <c r="BS1" s="7" t="s">
        <v>595</v>
      </c>
      <c r="BT1" s="7" t="s">
        <v>605</v>
      </c>
      <c r="BU1" s="7" t="s">
        <v>617</v>
      </c>
      <c r="BV1" s="7" t="s">
        <v>619</v>
      </c>
      <c r="BW1" s="7" t="s">
        <v>620</v>
      </c>
    </row>
    <row r="2" spans="1:75" s="91" customFormat="1" ht="12.75">
      <c r="A2" s="131" t="s">
        <v>524</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7"/>
      <c r="AJ2" s="127"/>
      <c r="AK2" s="127"/>
      <c r="AL2" s="127"/>
      <c r="AM2" s="127"/>
      <c r="AN2" s="127"/>
      <c r="AO2" s="127"/>
      <c r="AP2" s="127"/>
      <c r="AQ2" s="127"/>
      <c r="AR2" s="127"/>
      <c r="AS2" s="303"/>
      <c r="AT2" s="127"/>
      <c r="AU2" s="303"/>
      <c r="AV2" s="127"/>
      <c r="AW2" s="303"/>
      <c r="AX2" s="127"/>
      <c r="AY2" s="127"/>
      <c r="AZ2" s="127"/>
      <c r="BA2" s="303"/>
      <c r="BB2" s="303"/>
      <c r="BC2" s="127"/>
      <c r="BD2" s="127"/>
      <c r="BE2" s="382"/>
      <c r="BF2" s="127"/>
      <c r="BG2" s="127"/>
      <c r="BH2" s="127"/>
      <c r="BI2" s="127"/>
      <c r="BJ2" s="127"/>
      <c r="BK2" s="127"/>
      <c r="BL2" s="127"/>
      <c r="BM2" s="127"/>
      <c r="BN2" s="127"/>
      <c r="BO2" s="127"/>
      <c r="BP2" s="127"/>
      <c r="BQ2" s="127"/>
      <c r="BR2" s="127"/>
      <c r="BS2" s="127"/>
      <c r="BT2" s="127"/>
      <c r="BU2" s="127"/>
      <c r="BV2" s="127"/>
      <c r="BW2" s="127"/>
    </row>
    <row r="3" spans="1:75" s="91" customFormat="1" ht="12.75">
      <c r="A3" s="139" t="s">
        <v>518</v>
      </c>
      <c r="B3" s="88"/>
      <c r="C3" s="88"/>
      <c r="D3" s="88"/>
      <c r="E3" s="88"/>
      <c r="F3" s="93"/>
      <c r="G3" s="88"/>
      <c r="H3" s="88"/>
      <c r="I3" s="88"/>
      <c r="J3" s="88"/>
      <c r="K3" s="93"/>
      <c r="L3" s="88"/>
      <c r="M3" s="88"/>
      <c r="N3" s="88"/>
      <c r="O3" s="88"/>
      <c r="P3" s="93"/>
      <c r="Q3" s="88"/>
      <c r="R3" s="88"/>
      <c r="S3" s="88"/>
      <c r="T3" s="88"/>
      <c r="U3" s="93"/>
      <c r="V3" s="88"/>
      <c r="W3" s="88"/>
      <c r="X3" s="88"/>
      <c r="Y3" s="88"/>
      <c r="Z3" s="93"/>
      <c r="AA3" s="88">
        <f aca="true" t="shared" si="0" ref="AA3:AA8">AE3-AD3-AC3-AB3</f>
        <v>36690</v>
      </c>
      <c r="AB3" s="88">
        <v>32474</v>
      </c>
      <c r="AC3" s="88">
        <v>34893</v>
      </c>
      <c r="AD3" s="88">
        <f>15600+783</f>
        <v>16383</v>
      </c>
      <c r="AE3" s="93">
        <v>120440</v>
      </c>
      <c r="AF3" s="88">
        <v>17048</v>
      </c>
      <c r="AG3" s="88">
        <v>23538</v>
      </c>
      <c r="AH3" s="88">
        <f aca="true" t="shared" si="1" ref="AH3:AH8">AJ3-AI3-AG3-AF3</f>
        <v>20135</v>
      </c>
      <c r="AI3" s="88">
        <v>18143</v>
      </c>
      <c r="AJ3" s="93">
        <v>78864</v>
      </c>
      <c r="AK3" s="88">
        <v>23876</v>
      </c>
      <c r="AL3" s="88">
        <v>30559</v>
      </c>
      <c r="AM3" s="88">
        <v>32906</v>
      </c>
      <c r="AN3" s="88">
        <v>38474</v>
      </c>
      <c r="AO3" s="93">
        <v>125815</v>
      </c>
      <c r="AP3" s="88">
        <v>46036</v>
      </c>
      <c r="AQ3" s="88">
        <v>15178</v>
      </c>
      <c r="AR3" s="88">
        <v>35117</v>
      </c>
      <c r="AS3" s="100">
        <v>88036</v>
      </c>
      <c r="AT3" s="88">
        <v>47625</v>
      </c>
      <c r="AU3" s="100">
        <v>56699</v>
      </c>
      <c r="AV3" s="93">
        <v>143956</v>
      </c>
      <c r="AW3" s="101">
        <v>144735</v>
      </c>
      <c r="AX3" s="88">
        <v>52211</v>
      </c>
      <c r="AY3" s="88">
        <v>74143</v>
      </c>
      <c r="AZ3" s="88">
        <v>81735</v>
      </c>
      <c r="BA3" s="100">
        <v>69107</v>
      </c>
      <c r="BB3" s="100">
        <v>174757.584408</v>
      </c>
      <c r="BC3" s="88">
        <v>85723</v>
      </c>
      <c r="BD3" s="93">
        <v>260480.584408</v>
      </c>
      <c r="BE3" s="372">
        <v>54154</v>
      </c>
      <c r="BF3" s="88">
        <v>71714</v>
      </c>
      <c r="BG3" s="88">
        <v>75890.8</v>
      </c>
      <c r="BH3" s="88">
        <v>82437</v>
      </c>
      <c r="BI3" s="88">
        <v>82437</v>
      </c>
      <c r="BJ3" s="93">
        <v>284195.8</v>
      </c>
      <c r="BK3" s="93">
        <v>284195.8</v>
      </c>
      <c r="BL3" s="88">
        <v>87485</v>
      </c>
      <c r="BM3" s="88">
        <v>74393</v>
      </c>
      <c r="BN3" s="88">
        <v>74393</v>
      </c>
      <c r="BO3" s="88">
        <v>81343</v>
      </c>
      <c r="BP3" s="88">
        <v>81343</v>
      </c>
      <c r="BQ3" s="88">
        <v>86919</v>
      </c>
      <c r="BR3" s="93">
        <v>330140</v>
      </c>
      <c r="BS3" s="88">
        <v>77987</v>
      </c>
      <c r="BT3" s="88">
        <v>69455</v>
      </c>
      <c r="BU3" s="88">
        <v>74772</v>
      </c>
      <c r="BV3" s="232">
        <v>59072</v>
      </c>
      <c r="BW3" s="473">
        <v>281286</v>
      </c>
    </row>
    <row r="4" spans="1:75" s="91" customFormat="1" ht="12.75">
      <c r="A4" s="139" t="s">
        <v>517</v>
      </c>
      <c r="B4" s="88"/>
      <c r="C4" s="88"/>
      <c r="D4" s="88"/>
      <c r="E4" s="88"/>
      <c r="F4" s="93"/>
      <c r="G4" s="88"/>
      <c r="H4" s="88"/>
      <c r="I4" s="88"/>
      <c r="J4" s="88"/>
      <c r="K4" s="93"/>
      <c r="L4" s="88"/>
      <c r="M4" s="88"/>
      <c r="N4" s="88"/>
      <c r="O4" s="88"/>
      <c r="P4" s="93"/>
      <c r="Q4" s="88"/>
      <c r="R4" s="88"/>
      <c r="S4" s="88"/>
      <c r="T4" s="88"/>
      <c r="U4" s="93"/>
      <c r="V4" s="88"/>
      <c r="W4" s="88"/>
      <c r="X4" s="88"/>
      <c r="Y4" s="88"/>
      <c r="Z4" s="93"/>
      <c r="AA4" s="88">
        <f t="shared" si="0"/>
        <v>19352</v>
      </c>
      <c r="AB4" s="88">
        <v>69079</v>
      </c>
      <c r="AC4" s="88">
        <v>58697</v>
      </c>
      <c r="AD4" s="88">
        <f>19459+2441</f>
        <v>21900</v>
      </c>
      <c r="AE4" s="93">
        <v>169028</v>
      </c>
      <c r="AF4" s="88">
        <v>28352</v>
      </c>
      <c r="AG4" s="88">
        <v>58530</v>
      </c>
      <c r="AH4" s="88">
        <f t="shared" si="1"/>
        <v>47220</v>
      </c>
      <c r="AI4" s="88">
        <v>37833</v>
      </c>
      <c r="AJ4" s="93">
        <v>171935</v>
      </c>
      <c r="AK4" s="88">
        <v>40149</v>
      </c>
      <c r="AL4" s="88">
        <v>68957</v>
      </c>
      <c r="AM4" s="88">
        <v>4539</v>
      </c>
      <c r="AN4" s="88">
        <v>-45677</v>
      </c>
      <c r="AO4" s="93">
        <v>67968</v>
      </c>
      <c r="AP4" s="88">
        <v>4676</v>
      </c>
      <c r="AQ4" s="88">
        <v>41289</v>
      </c>
      <c r="AR4" s="88">
        <v>-1658</v>
      </c>
      <c r="AS4" s="100">
        <v>44307</v>
      </c>
      <c r="AT4" s="88">
        <v>-18293</v>
      </c>
      <c r="AU4" s="100">
        <v>-16157.4</v>
      </c>
      <c r="AV4" s="93">
        <v>26014</v>
      </c>
      <c r="AW4" s="101">
        <v>28149.6</v>
      </c>
      <c r="AX4" s="88">
        <v>-2807.886748</v>
      </c>
      <c r="AY4" s="88">
        <v>20824</v>
      </c>
      <c r="AZ4" s="88">
        <v>38461</v>
      </c>
      <c r="BA4" s="100">
        <v>38461</v>
      </c>
      <c r="BB4" s="100">
        <v>56477.113252</v>
      </c>
      <c r="BC4" s="88">
        <v>11274</v>
      </c>
      <c r="BD4" s="93">
        <v>67751.113252</v>
      </c>
      <c r="BE4" s="372">
        <v>-3873.886748</v>
      </c>
      <c r="BF4" s="88">
        <v>13433</v>
      </c>
      <c r="BG4" s="88">
        <v>50623</v>
      </c>
      <c r="BH4" s="88">
        <v>-1584</v>
      </c>
      <c r="BI4" s="88">
        <v>-1584</v>
      </c>
      <c r="BJ4" s="93">
        <v>58598.113251999996</v>
      </c>
      <c r="BK4" s="93">
        <v>58598.113251999996</v>
      </c>
      <c r="BL4" s="88">
        <v>39085</v>
      </c>
      <c r="BM4" s="88">
        <v>17236</v>
      </c>
      <c r="BN4" s="88">
        <v>17257</v>
      </c>
      <c r="BO4" s="88">
        <v>-17603.928</v>
      </c>
      <c r="BP4" s="88">
        <v>-16999</v>
      </c>
      <c r="BQ4" s="88">
        <v>-39806</v>
      </c>
      <c r="BR4" s="93">
        <v>-463</v>
      </c>
      <c r="BS4" s="88">
        <v>21425</v>
      </c>
      <c r="BT4" s="88">
        <v>-37002</v>
      </c>
      <c r="BU4" s="88">
        <v>54288</v>
      </c>
      <c r="BV4" s="232">
        <v>1012</v>
      </c>
      <c r="BW4" s="473">
        <v>39723</v>
      </c>
    </row>
    <row r="5" spans="1:75" s="91" customFormat="1" ht="12.75">
      <c r="A5" s="139" t="s">
        <v>516</v>
      </c>
      <c r="B5" s="88"/>
      <c r="C5" s="88"/>
      <c r="D5" s="88"/>
      <c r="E5" s="88"/>
      <c r="F5" s="93"/>
      <c r="G5" s="88"/>
      <c r="H5" s="88"/>
      <c r="I5" s="88"/>
      <c r="J5" s="88"/>
      <c r="K5" s="93"/>
      <c r="L5" s="88"/>
      <c r="M5" s="88"/>
      <c r="N5" s="88"/>
      <c r="O5" s="88"/>
      <c r="P5" s="93"/>
      <c r="Q5" s="88"/>
      <c r="R5" s="88"/>
      <c r="S5" s="88"/>
      <c r="T5" s="88"/>
      <c r="U5" s="93"/>
      <c r="V5" s="88"/>
      <c r="W5" s="88"/>
      <c r="X5" s="88"/>
      <c r="Y5" s="88"/>
      <c r="Z5" s="93"/>
      <c r="AA5" s="88">
        <f t="shared" si="0"/>
        <v>11330</v>
      </c>
      <c r="AB5" s="88">
        <v>9684</v>
      </c>
      <c r="AC5" s="88">
        <v>5467</v>
      </c>
      <c r="AD5" s="88">
        <f>9388+302</f>
        <v>9690</v>
      </c>
      <c r="AE5" s="93">
        <v>36171</v>
      </c>
      <c r="AF5" s="88">
        <v>12816</v>
      </c>
      <c r="AG5" s="88">
        <v>8320</v>
      </c>
      <c r="AH5" s="88">
        <f t="shared" si="1"/>
        <v>8397</v>
      </c>
      <c r="AI5" s="88">
        <v>9210</v>
      </c>
      <c r="AJ5" s="93">
        <v>38743</v>
      </c>
      <c r="AK5" s="88">
        <v>11253</v>
      </c>
      <c r="AL5" s="88">
        <v>9503</v>
      </c>
      <c r="AM5" s="88">
        <v>8430</v>
      </c>
      <c r="AN5" s="88">
        <v>11393</v>
      </c>
      <c r="AO5" s="93">
        <v>40579</v>
      </c>
      <c r="AP5" s="88">
        <v>18617</v>
      </c>
      <c r="AQ5" s="88">
        <v>11981</v>
      </c>
      <c r="AR5" s="88">
        <v>17166</v>
      </c>
      <c r="AS5" s="100">
        <v>46437</v>
      </c>
      <c r="AT5" s="88">
        <v>17283</v>
      </c>
      <c r="AU5" s="100">
        <v>15465</v>
      </c>
      <c r="AV5" s="93">
        <v>65047</v>
      </c>
      <c r="AW5" s="101">
        <v>61902</v>
      </c>
      <c r="AX5" s="88">
        <v>25287</v>
      </c>
      <c r="AY5" s="88">
        <v>20654</v>
      </c>
      <c r="AZ5" s="88">
        <v>8751</v>
      </c>
      <c r="BA5" s="100">
        <v>8751</v>
      </c>
      <c r="BB5" s="100">
        <v>54692</v>
      </c>
      <c r="BC5" s="88">
        <v>13010</v>
      </c>
      <c r="BD5" s="93">
        <v>67702</v>
      </c>
      <c r="BE5" s="372">
        <v>16606.784408</v>
      </c>
      <c r="BF5" s="88">
        <v>17346</v>
      </c>
      <c r="BG5" s="88">
        <v>7791</v>
      </c>
      <c r="BH5" s="88">
        <v>10539</v>
      </c>
      <c r="BI5" s="88">
        <v>10660</v>
      </c>
      <c r="BJ5" s="93">
        <v>52282.784408</v>
      </c>
      <c r="BK5" s="93">
        <v>52877.784408</v>
      </c>
      <c r="BL5" s="88">
        <v>18697.816839</v>
      </c>
      <c r="BM5" s="88">
        <v>14547</v>
      </c>
      <c r="BN5" s="88">
        <v>14705.183161</v>
      </c>
      <c r="BO5" s="88">
        <v>15972</v>
      </c>
      <c r="BP5" s="88">
        <v>16049</v>
      </c>
      <c r="BQ5" s="88">
        <v>16601</v>
      </c>
      <c r="BR5" s="93">
        <v>66053</v>
      </c>
      <c r="BS5" s="88">
        <v>12442</v>
      </c>
      <c r="BT5" s="88">
        <v>8100</v>
      </c>
      <c r="BU5" s="88">
        <v>12677</v>
      </c>
      <c r="BV5" s="232">
        <v>2884</v>
      </c>
      <c r="BW5" s="473">
        <v>36103</v>
      </c>
    </row>
    <row r="6" spans="1:73" s="106" customFormat="1" ht="12.75" hidden="1">
      <c r="A6" s="406" t="s">
        <v>62</v>
      </c>
      <c r="AA6" s="106">
        <f t="shared" si="0"/>
        <v>3651</v>
      </c>
      <c r="AB6" s="106">
        <v>3919</v>
      </c>
      <c r="AC6" s="106">
        <v>5463</v>
      </c>
      <c r="AD6" s="106">
        <f>10251+1</f>
        <v>10252</v>
      </c>
      <c r="AE6" s="106">
        <v>23285</v>
      </c>
      <c r="AF6" s="106">
        <v>12630</v>
      </c>
      <c r="AG6" s="106">
        <v>12188</v>
      </c>
      <c r="AH6" s="106">
        <f t="shared" si="1"/>
        <v>11940</v>
      </c>
      <c r="AI6" s="106">
        <v>4134</v>
      </c>
      <c r="AJ6" s="106">
        <v>40892</v>
      </c>
      <c r="AK6" s="106">
        <v>2638</v>
      </c>
      <c r="AL6" s="106">
        <v>-13743</v>
      </c>
      <c r="AM6" s="106">
        <v>-190</v>
      </c>
      <c r="AN6" s="106">
        <v>3752</v>
      </c>
      <c r="AO6" s="106">
        <v>-7543</v>
      </c>
      <c r="AP6" s="106">
        <v>-3711</v>
      </c>
      <c r="AQ6" s="106">
        <v>-9335</v>
      </c>
      <c r="AR6" s="106">
        <v>1377</v>
      </c>
      <c r="AS6" s="300">
        <v>-11669</v>
      </c>
      <c r="AT6" s="106">
        <v>-3582</v>
      </c>
      <c r="AU6" s="300">
        <v>-3550</v>
      </c>
      <c r="AV6" s="106">
        <v>-15251</v>
      </c>
      <c r="AW6" s="300">
        <v>-15219</v>
      </c>
      <c r="AX6" s="106">
        <v>-2170</v>
      </c>
      <c r="AY6" s="106">
        <v>1576</v>
      </c>
      <c r="AZ6" s="106">
        <v>6046</v>
      </c>
      <c r="BA6" s="300">
        <v>6046</v>
      </c>
      <c r="BB6" s="300">
        <v>5452</v>
      </c>
      <c r="BC6" s="106">
        <v>-3918</v>
      </c>
      <c r="BD6" s="106">
        <v>1534</v>
      </c>
      <c r="BE6" s="378"/>
      <c r="BF6" s="106">
        <v>0</v>
      </c>
      <c r="BG6" s="106">
        <v>0</v>
      </c>
      <c r="BM6" s="106">
        <v>0</v>
      </c>
      <c r="BO6" s="106">
        <v>0</v>
      </c>
      <c r="BU6" s="106">
        <v>0</v>
      </c>
    </row>
    <row r="7" spans="1:75" s="91" customFormat="1" ht="12.75">
      <c r="A7" s="124" t="s">
        <v>195</v>
      </c>
      <c r="B7" s="88"/>
      <c r="C7" s="88"/>
      <c r="D7" s="88"/>
      <c r="E7" s="88"/>
      <c r="F7" s="93"/>
      <c r="G7" s="88"/>
      <c r="H7" s="88"/>
      <c r="I7" s="88"/>
      <c r="J7" s="88"/>
      <c r="K7" s="93"/>
      <c r="L7" s="88"/>
      <c r="M7" s="88"/>
      <c r="N7" s="88"/>
      <c r="O7" s="88"/>
      <c r="P7" s="93"/>
      <c r="Q7" s="88"/>
      <c r="R7" s="88"/>
      <c r="S7" s="88"/>
      <c r="T7" s="88"/>
      <c r="U7" s="93"/>
      <c r="V7" s="88"/>
      <c r="W7" s="88"/>
      <c r="X7" s="88"/>
      <c r="Y7" s="88"/>
      <c r="Z7" s="93"/>
      <c r="AA7" s="88">
        <f t="shared" si="0"/>
        <v>-11081</v>
      </c>
      <c r="AB7" s="88">
        <v>-13926</v>
      </c>
      <c r="AC7" s="88">
        <v>-9987</v>
      </c>
      <c r="AD7" s="88">
        <f>-9890-206</f>
        <v>-10096</v>
      </c>
      <c r="AE7" s="93">
        <v>-45090</v>
      </c>
      <c r="AF7" s="88">
        <v>-8225</v>
      </c>
      <c r="AG7" s="88">
        <v>-9590</v>
      </c>
      <c r="AH7" s="88">
        <f t="shared" si="1"/>
        <v>-9232</v>
      </c>
      <c r="AI7" s="88">
        <v>-2592</v>
      </c>
      <c r="AJ7" s="93">
        <v>-29639</v>
      </c>
      <c r="AK7" s="88">
        <v>-9145</v>
      </c>
      <c r="AL7" s="88">
        <v>-11505</v>
      </c>
      <c r="AM7" s="88">
        <v>-8565</v>
      </c>
      <c r="AN7" s="88">
        <v>-9675</v>
      </c>
      <c r="AO7" s="93">
        <v>-38890</v>
      </c>
      <c r="AP7" s="88">
        <v>-5483</v>
      </c>
      <c r="AQ7" s="88">
        <v>-20354</v>
      </c>
      <c r="AR7" s="88">
        <v>-12981</v>
      </c>
      <c r="AS7" s="100">
        <v>-38818</v>
      </c>
      <c r="AT7" s="88">
        <v>-15675</v>
      </c>
      <c r="AU7" s="100">
        <v>-10075.9</v>
      </c>
      <c r="AV7" s="93">
        <v>-54493</v>
      </c>
      <c r="AW7" s="101">
        <v>-48893.9</v>
      </c>
      <c r="AX7" s="88">
        <v>-11956</v>
      </c>
      <c r="AY7" s="88">
        <v>-22317</v>
      </c>
      <c r="AZ7" s="88">
        <v>-11508</v>
      </c>
      <c r="BA7" s="100">
        <v>-11508</v>
      </c>
      <c r="BB7" s="100">
        <v>-45781</v>
      </c>
      <c r="BC7" s="88">
        <v>-20134</v>
      </c>
      <c r="BD7" s="93">
        <v>-65915</v>
      </c>
      <c r="BE7" s="372">
        <v>-11956</v>
      </c>
      <c r="BF7" s="88">
        <v>-13267</v>
      </c>
      <c r="BG7" s="88">
        <v>-16654</v>
      </c>
      <c r="BH7" s="88">
        <v>-14931</v>
      </c>
      <c r="BI7" s="88">
        <v>-13534</v>
      </c>
      <c r="BJ7" s="93">
        <v>-56808</v>
      </c>
      <c r="BK7" s="93">
        <v>-50983</v>
      </c>
      <c r="BL7" s="88">
        <v>-20261.6504198899</v>
      </c>
      <c r="BM7" s="88">
        <v>-14820</v>
      </c>
      <c r="BN7" s="88">
        <v>-13808.349580110102</v>
      </c>
      <c r="BO7" s="88">
        <v>-9556.072</v>
      </c>
      <c r="BP7" s="88">
        <v>-7915</v>
      </c>
      <c r="BQ7" s="88">
        <v>-5215</v>
      </c>
      <c r="BR7" s="93">
        <v>-47200</v>
      </c>
      <c r="BS7" s="88">
        <v>-11611</v>
      </c>
      <c r="BT7" s="88">
        <v>-9552</v>
      </c>
      <c r="BU7" s="88">
        <v>-12268</v>
      </c>
      <c r="BV7" s="232">
        <v>-20187</v>
      </c>
      <c r="BW7" s="473">
        <v>-53618</v>
      </c>
    </row>
    <row r="8" spans="1:75" s="91" customFormat="1" ht="12.75">
      <c r="A8" s="124" t="s">
        <v>450</v>
      </c>
      <c r="B8" s="88"/>
      <c r="C8" s="88"/>
      <c r="D8" s="88"/>
      <c r="E8" s="88"/>
      <c r="F8" s="93"/>
      <c r="G8" s="88"/>
      <c r="H8" s="88"/>
      <c r="I8" s="88"/>
      <c r="J8" s="88"/>
      <c r="K8" s="93"/>
      <c r="L8" s="88"/>
      <c r="M8" s="88"/>
      <c r="N8" s="88"/>
      <c r="O8" s="88"/>
      <c r="P8" s="93"/>
      <c r="Q8" s="88"/>
      <c r="R8" s="88"/>
      <c r="S8" s="88"/>
      <c r="T8" s="88"/>
      <c r="U8" s="93"/>
      <c r="V8" s="88"/>
      <c r="W8" s="88"/>
      <c r="X8" s="88"/>
      <c r="Y8" s="88"/>
      <c r="Z8" s="93"/>
      <c r="AA8" s="88">
        <f t="shared" si="0"/>
        <v>5538</v>
      </c>
      <c r="AB8" s="88">
        <v>1096</v>
      </c>
      <c r="AC8" s="88">
        <v>221</v>
      </c>
      <c r="AD8" s="88">
        <v>1869</v>
      </c>
      <c r="AE8" s="93">
        <v>8724</v>
      </c>
      <c r="AF8" s="88">
        <v>-1421</v>
      </c>
      <c r="AG8" s="88">
        <v>-1899</v>
      </c>
      <c r="AH8" s="88">
        <f t="shared" si="1"/>
        <v>-576</v>
      </c>
      <c r="AI8" s="88">
        <v>2521</v>
      </c>
      <c r="AJ8" s="93">
        <v>-1375</v>
      </c>
      <c r="AK8" s="88">
        <v>-1470</v>
      </c>
      <c r="AL8" s="88">
        <v>-1078</v>
      </c>
      <c r="AM8" s="88">
        <v>5285</v>
      </c>
      <c r="AN8" s="88">
        <v>3705</v>
      </c>
      <c r="AO8" s="93">
        <v>6442</v>
      </c>
      <c r="AP8" s="88">
        <v>-6726</v>
      </c>
      <c r="AQ8" s="88">
        <v>8960</v>
      </c>
      <c r="AR8" s="88">
        <v>2176</v>
      </c>
      <c r="AS8" s="100">
        <v>5736</v>
      </c>
      <c r="AT8" s="88">
        <v>-1533</v>
      </c>
      <c r="AU8" s="100">
        <v>-236</v>
      </c>
      <c r="AV8" s="93">
        <v>2876</v>
      </c>
      <c r="AW8" s="101">
        <v>5500</v>
      </c>
      <c r="AX8" s="88">
        <v>-900</v>
      </c>
      <c r="AY8" s="88">
        <v>476</v>
      </c>
      <c r="AZ8" s="88">
        <v>2422</v>
      </c>
      <c r="BA8" s="100">
        <v>2422</v>
      </c>
      <c r="BB8" s="100">
        <v>1998</v>
      </c>
      <c r="BC8" s="88">
        <v>-1835</v>
      </c>
      <c r="BD8" s="93">
        <v>163</v>
      </c>
      <c r="BE8" s="372">
        <v>-2601</v>
      </c>
      <c r="BF8" s="88">
        <v>-7239</v>
      </c>
      <c r="BG8" s="88">
        <v>-4372</v>
      </c>
      <c r="BH8" s="88">
        <v>6088</v>
      </c>
      <c r="BI8" s="88">
        <v>6089</v>
      </c>
      <c r="BJ8" s="93">
        <v>-8123</v>
      </c>
      <c r="BK8" s="93">
        <v>-8123</v>
      </c>
      <c r="BL8" s="88">
        <v>-3912</v>
      </c>
      <c r="BM8" s="88">
        <v>-4378</v>
      </c>
      <c r="BN8" s="88">
        <v>-4378</v>
      </c>
      <c r="BO8" s="88">
        <v>-8026</v>
      </c>
      <c r="BP8" s="88">
        <v>-8026</v>
      </c>
      <c r="BQ8" s="88">
        <v>4694</v>
      </c>
      <c r="BR8" s="93">
        <v>-11622</v>
      </c>
      <c r="BS8" s="88">
        <v>863</v>
      </c>
      <c r="BT8" s="88">
        <v>-11403</v>
      </c>
      <c r="BU8" s="88">
        <v>-12282</v>
      </c>
      <c r="BV8" s="232">
        <v>5869</v>
      </c>
      <c r="BW8" s="473">
        <v>-16953</v>
      </c>
    </row>
    <row r="9" spans="1:57" s="106" customFormat="1" ht="25.5" hidden="1">
      <c r="A9" s="406" t="s">
        <v>417</v>
      </c>
      <c r="AA9" s="106">
        <f aca="true" t="shared" si="2" ref="AA9:AL9">SUM(AA3:AA8)</f>
        <v>65480</v>
      </c>
      <c r="AB9" s="106">
        <f t="shared" si="2"/>
        <v>102326</v>
      </c>
      <c r="AC9" s="106">
        <f t="shared" si="2"/>
        <v>94754</v>
      </c>
      <c r="AD9" s="106">
        <f t="shared" si="2"/>
        <v>49998</v>
      </c>
      <c r="AE9" s="106">
        <f t="shared" si="2"/>
        <v>312558</v>
      </c>
      <c r="AF9" s="106">
        <f t="shared" si="2"/>
        <v>61200</v>
      </c>
      <c r="AG9" s="106">
        <f t="shared" si="2"/>
        <v>91087</v>
      </c>
      <c r="AH9" s="106">
        <f t="shared" si="2"/>
        <v>77884</v>
      </c>
      <c r="AI9" s="106">
        <f t="shared" si="2"/>
        <v>69249</v>
      </c>
      <c r="AJ9" s="106">
        <f t="shared" si="2"/>
        <v>299420</v>
      </c>
      <c r="AK9" s="106">
        <f t="shared" si="2"/>
        <v>67301</v>
      </c>
      <c r="AL9" s="106">
        <f t="shared" si="2"/>
        <v>82693</v>
      </c>
      <c r="AM9" s="106">
        <v>42405</v>
      </c>
      <c r="AN9" s="106">
        <v>1972</v>
      </c>
      <c r="AO9" s="106">
        <v>194371</v>
      </c>
      <c r="AP9" s="106">
        <v>53409</v>
      </c>
      <c r="AQ9" s="106">
        <v>47718</v>
      </c>
      <c r="AR9" s="106">
        <v>41197</v>
      </c>
      <c r="AS9" s="300"/>
      <c r="AT9" s="106">
        <v>25825</v>
      </c>
      <c r="AU9" s="300">
        <v>42144.7</v>
      </c>
      <c r="AV9" s="106">
        <v>168149</v>
      </c>
      <c r="AW9" s="300"/>
      <c r="AX9" s="106">
        <v>59664.11325200001</v>
      </c>
      <c r="AY9" s="106">
        <v>95356</v>
      </c>
      <c r="AZ9" s="106">
        <v>125907</v>
      </c>
      <c r="BA9" s="300"/>
      <c r="BB9" s="300"/>
      <c r="BE9" s="378"/>
    </row>
    <row r="10" spans="1:57" s="106" customFormat="1" ht="12.75" hidden="1">
      <c r="A10" s="406" t="s">
        <v>415</v>
      </c>
      <c r="AR10" s="106">
        <v>-8295</v>
      </c>
      <c r="AS10" s="300"/>
      <c r="AT10" s="106">
        <v>6590</v>
      </c>
      <c r="AU10" s="300"/>
      <c r="AV10" s="106">
        <v>-1705</v>
      </c>
      <c r="AW10" s="300"/>
      <c r="AX10" s="106">
        <v>-7334.215592</v>
      </c>
      <c r="AY10" s="106">
        <v>-13369</v>
      </c>
      <c r="AZ10" s="106">
        <v>-12628</v>
      </c>
      <c r="BA10" s="300"/>
      <c r="BB10" s="300"/>
      <c r="BE10" s="378"/>
    </row>
    <row r="11" spans="1:75" s="116" customFormat="1" ht="12.75">
      <c r="A11" s="104" t="s">
        <v>418</v>
      </c>
      <c r="B11" s="96"/>
      <c r="C11" s="96"/>
      <c r="D11" s="96"/>
      <c r="E11" s="96"/>
      <c r="F11" s="97"/>
      <c r="G11" s="96"/>
      <c r="H11" s="96"/>
      <c r="I11" s="96"/>
      <c r="J11" s="96"/>
      <c r="K11" s="97"/>
      <c r="L11" s="96"/>
      <c r="M11" s="96"/>
      <c r="N11" s="96"/>
      <c r="O11" s="96"/>
      <c r="P11" s="97"/>
      <c r="Q11" s="96"/>
      <c r="R11" s="96"/>
      <c r="S11" s="96"/>
      <c r="T11" s="96"/>
      <c r="U11" s="97"/>
      <c r="V11" s="96"/>
      <c r="W11" s="96"/>
      <c r="X11" s="96"/>
      <c r="Y11" s="96"/>
      <c r="Z11" s="97"/>
      <c r="AA11" s="96"/>
      <c r="AB11" s="96"/>
      <c r="AC11" s="96"/>
      <c r="AD11" s="96"/>
      <c r="AE11" s="97"/>
      <c r="AF11" s="96"/>
      <c r="AG11" s="96"/>
      <c r="AH11" s="96"/>
      <c r="AI11" s="96"/>
      <c r="AJ11" s="97"/>
      <c r="AK11" s="96"/>
      <c r="AL11" s="96"/>
      <c r="AM11" s="96"/>
      <c r="AN11" s="96"/>
      <c r="AO11" s="97"/>
      <c r="AP11" s="96">
        <v>53409</v>
      </c>
      <c r="AQ11" s="96">
        <v>47718</v>
      </c>
      <c r="AR11" s="96">
        <v>32902</v>
      </c>
      <c r="AS11" s="294">
        <v>134029</v>
      </c>
      <c r="AT11" s="96">
        <v>32415</v>
      </c>
      <c r="AU11" s="294">
        <v>42144.7</v>
      </c>
      <c r="AV11" s="97">
        <v>166444</v>
      </c>
      <c r="AW11" s="291">
        <v>176173.7</v>
      </c>
      <c r="AX11" s="96">
        <v>52329.89766000001</v>
      </c>
      <c r="AY11" s="96">
        <v>81987</v>
      </c>
      <c r="AZ11" s="96">
        <v>113279</v>
      </c>
      <c r="BA11" s="294">
        <v>113279</v>
      </c>
      <c r="BB11" s="294">
        <v>247595.69766</v>
      </c>
      <c r="BC11" s="96">
        <v>84120</v>
      </c>
      <c r="BD11" s="97">
        <v>331715.69766</v>
      </c>
      <c r="BE11" s="373">
        <v>52329.89766</v>
      </c>
      <c r="BF11" s="96">
        <v>81987</v>
      </c>
      <c r="BG11" s="96">
        <v>113278.8</v>
      </c>
      <c r="BH11" s="96">
        <v>82549</v>
      </c>
      <c r="BI11" s="96">
        <v>84068</v>
      </c>
      <c r="BJ11" s="97">
        <v>330145.69766</v>
      </c>
      <c r="BK11" s="97">
        <v>336565.69766</v>
      </c>
      <c r="BL11" s="96">
        <v>121094.16641911012</v>
      </c>
      <c r="BM11" s="96">
        <v>86978</v>
      </c>
      <c r="BN11" s="96">
        <v>88168.83358088988</v>
      </c>
      <c r="BO11" s="96">
        <v>62129</v>
      </c>
      <c r="BP11" s="96">
        <v>64452</v>
      </c>
      <c r="BQ11" s="96">
        <v>63193</v>
      </c>
      <c r="BR11" s="97">
        <v>336908</v>
      </c>
      <c r="BS11" s="96">
        <v>101106</v>
      </c>
      <c r="BT11" s="96">
        <v>19598</v>
      </c>
      <c r="BU11" s="96">
        <v>117187</v>
      </c>
      <c r="BV11" s="96">
        <f>SUM(BV3:BV8)</f>
        <v>48650</v>
      </c>
      <c r="BW11" s="97">
        <f>SUM(BW3:BW8)</f>
        <v>286541</v>
      </c>
    </row>
    <row r="12" ht="12.75"/>
    <row r="13" spans="1:75" s="255" customFormat="1" ht="25.5">
      <c r="A13" s="254" t="s">
        <v>526</v>
      </c>
      <c r="B13" s="90" t="s">
        <v>2</v>
      </c>
      <c r="C13" s="90" t="s">
        <v>3</v>
      </c>
      <c r="D13" s="90" t="s">
        <v>4</v>
      </c>
      <c r="E13" s="90" t="s">
        <v>5</v>
      </c>
      <c r="F13" s="90" t="s">
        <v>6</v>
      </c>
      <c r="G13" s="90" t="s">
        <v>12</v>
      </c>
      <c r="H13" s="90" t="s">
        <v>13</v>
      </c>
      <c r="I13" s="90" t="s">
        <v>14</v>
      </c>
      <c r="J13" s="90" t="s">
        <v>15</v>
      </c>
      <c r="K13" s="90" t="s">
        <v>16</v>
      </c>
      <c r="L13" s="90" t="s">
        <v>17</v>
      </c>
      <c r="M13" s="90" t="s">
        <v>18</v>
      </c>
      <c r="N13" s="90" t="s">
        <v>19</v>
      </c>
      <c r="O13" s="90" t="s">
        <v>20</v>
      </c>
      <c r="P13" s="90" t="s">
        <v>21</v>
      </c>
      <c r="Q13" s="90" t="s">
        <v>22</v>
      </c>
      <c r="R13" s="90" t="s">
        <v>23</v>
      </c>
      <c r="S13" s="90" t="s">
        <v>24</v>
      </c>
      <c r="T13" s="90" t="s">
        <v>25</v>
      </c>
      <c r="U13" s="90" t="s">
        <v>26</v>
      </c>
      <c r="V13" s="90" t="s">
        <v>27</v>
      </c>
      <c r="W13" s="90" t="s">
        <v>28</v>
      </c>
      <c r="X13" s="90" t="s">
        <v>29</v>
      </c>
      <c r="Y13" s="90" t="s">
        <v>30</v>
      </c>
      <c r="Z13" s="90" t="s">
        <v>31</v>
      </c>
      <c r="AA13" s="90" t="s">
        <v>32</v>
      </c>
      <c r="AB13" s="90" t="s">
        <v>33</v>
      </c>
      <c r="AC13" s="90" t="s">
        <v>34</v>
      </c>
      <c r="AD13" s="90" t="s">
        <v>271</v>
      </c>
      <c r="AE13" s="90" t="s">
        <v>272</v>
      </c>
      <c r="AF13" s="90" t="s">
        <v>274</v>
      </c>
      <c r="AG13" s="90" t="s">
        <v>276</v>
      </c>
      <c r="AH13" s="90" t="s">
        <v>278</v>
      </c>
      <c r="AI13" s="90" t="s">
        <v>280</v>
      </c>
      <c r="AJ13" s="90" t="s">
        <v>281</v>
      </c>
      <c r="AK13" s="90" t="s">
        <v>289</v>
      </c>
      <c r="AL13" s="90" t="s">
        <v>290</v>
      </c>
      <c r="AM13" s="90" t="s">
        <v>291</v>
      </c>
      <c r="AN13" s="90" t="s">
        <v>292</v>
      </c>
      <c r="AO13" s="90" t="s">
        <v>293</v>
      </c>
      <c r="AP13" s="90" t="s">
        <v>329</v>
      </c>
      <c r="AQ13" s="90" t="s">
        <v>330</v>
      </c>
      <c r="AR13" s="90" t="s">
        <v>331</v>
      </c>
      <c r="AS13" s="289" t="s">
        <v>490</v>
      </c>
      <c r="AT13" s="90" t="s">
        <v>332</v>
      </c>
      <c r="AU13" s="289" t="s">
        <v>477</v>
      </c>
      <c r="AV13" s="90" t="s">
        <v>333</v>
      </c>
      <c r="AW13" s="289" t="s">
        <v>460</v>
      </c>
      <c r="AX13" s="90" t="s">
        <v>448</v>
      </c>
      <c r="AY13" s="90" t="s">
        <v>451</v>
      </c>
      <c r="AZ13" s="90" t="s">
        <v>453</v>
      </c>
      <c r="BA13" s="289" t="s">
        <v>466</v>
      </c>
      <c r="BB13" s="289" t="s">
        <v>491</v>
      </c>
      <c r="BC13" s="90" t="s">
        <v>454</v>
      </c>
      <c r="BD13" s="90" t="s">
        <v>457</v>
      </c>
      <c r="BE13" s="342" t="s">
        <v>492</v>
      </c>
      <c r="BF13" s="7" t="s">
        <v>553</v>
      </c>
      <c r="BG13" s="7" t="s">
        <v>560</v>
      </c>
      <c r="BH13" s="7" t="s">
        <v>493</v>
      </c>
      <c r="BI13" s="7" t="s">
        <v>582</v>
      </c>
      <c r="BJ13" s="7" t="s">
        <v>494</v>
      </c>
      <c r="BK13" s="7" t="s">
        <v>573</v>
      </c>
      <c r="BL13" s="7" t="s">
        <v>495</v>
      </c>
      <c r="BM13" s="7" t="s">
        <v>554</v>
      </c>
      <c r="BN13" s="7" t="s">
        <v>611</v>
      </c>
      <c r="BO13" s="7" t="s">
        <v>561</v>
      </c>
      <c r="BP13" s="7" t="s">
        <v>572</v>
      </c>
      <c r="BQ13" s="7" t="s">
        <v>570</v>
      </c>
      <c r="BR13" s="7" t="s">
        <v>574</v>
      </c>
      <c r="BS13" s="7" t="s">
        <v>595</v>
      </c>
      <c r="BT13" s="7" t="s">
        <v>605</v>
      </c>
      <c r="BU13" s="7" t="s">
        <v>617</v>
      </c>
      <c r="BV13" s="7" t="s">
        <v>619</v>
      </c>
      <c r="BW13" s="7" t="s">
        <v>620</v>
      </c>
    </row>
    <row r="14" spans="1:75" s="91" customFormat="1" ht="12.75">
      <c r="A14" s="131" t="s">
        <v>524</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7"/>
      <c r="AJ14" s="127"/>
      <c r="AK14" s="127"/>
      <c r="AL14" s="127"/>
      <c r="AM14" s="127"/>
      <c r="AN14" s="127"/>
      <c r="AO14" s="127"/>
      <c r="AP14" s="127"/>
      <c r="AQ14" s="127"/>
      <c r="AR14" s="127"/>
      <c r="AS14" s="303"/>
      <c r="AT14" s="127"/>
      <c r="AU14" s="303"/>
      <c r="AV14" s="127"/>
      <c r="AW14" s="303"/>
      <c r="AX14" s="127"/>
      <c r="AY14" s="127"/>
      <c r="AZ14" s="127"/>
      <c r="BA14" s="303"/>
      <c r="BB14" s="303"/>
      <c r="BC14" s="127"/>
      <c r="BD14" s="127"/>
      <c r="BE14" s="382"/>
      <c r="BF14" s="127"/>
      <c r="BG14" s="127"/>
      <c r="BH14" s="127"/>
      <c r="BI14" s="127"/>
      <c r="BJ14" s="127"/>
      <c r="BK14" s="127"/>
      <c r="BL14" s="127"/>
      <c r="BM14" s="127"/>
      <c r="BN14" s="127"/>
      <c r="BO14" s="127"/>
      <c r="BP14" s="127"/>
      <c r="BQ14" s="127"/>
      <c r="BR14" s="127"/>
      <c r="BS14" s="127"/>
      <c r="BT14" s="127"/>
      <c r="BU14" s="127"/>
      <c r="BV14" s="127"/>
      <c r="BW14" s="127"/>
    </row>
    <row r="15" spans="1:75" s="91" customFormat="1" ht="12.75">
      <c r="A15" s="139" t="s">
        <v>518</v>
      </c>
      <c r="B15" s="88"/>
      <c r="C15" s="88"/>
      <c r="D15" s="88"/>
      <c r="E15" s="88"/>
      <c r="F15" s="93"/>
      <c r="G15" s="88"/>
      <c r="H15" s="88"/>
      <c r="I15" s="88"/>
      <c r="J15" s="88"/>
      <c r="K15" s="93"/>
      <c r="L15" s="88"/>
      <c r="M15" s="88"/>
      <c r="N15" s="88"/>
      <c r="O15" s="88"/>
      <c r="P15" s="93"/>
      <c r="Q15" s="88"/>
      <c r="R15" s="88"/>
      <c r="S15" s="88"/>
      <c r="T15" s="88"/>
      <c r="U15" s="93"/>
      <c r="V15" s="88"/>
      <c r="W15" s="88"/>
      <c r="X15" s="88"/>
      <c r="Y15" s="88"/>
      <c r="Z15" s="93"/>
      <c r="AA15" s="88">
        <f aca="true" t="shared" si="3" ref="AA15:AA20">AE15-AD15-AC15-AB15</f>
        <v>44019</v>
      </c>
      <c r="AB15" s="88">
        <v>41681</v>
      </c>
      <c r="AC15" s="88">
        <v>42583</v>
      </c>
      <c r="AD15" s="88">
        <f>27488+783</f>
        <v>28271</v>
      </c>
      <c r="AE15" s="93">
        <v>156554</v>
      </c>
      <c r="AF15" s="88">
        <v>26865</v>
      </c>
      <c r="AG15" s="88">
        <v>30151</v>
      </c>
      <c r="AH15" s="88">
        <f aca="true" t="shared" si="4" ref="AH15:AH20">AJ15-AI15-AG15-AF15</f>
        <v>34143</v>
      </c>
      <c r="AI15" s="88">
        <v>28109</v>
      </c>
      <c r="AJ15" s="93">
        <v>119268</v>
      </c>
      <c r="AK15" s="88">
        <v>31056</v>
      </c>
      <c r="AL15" s="88">
        <v>37160</v>
      </c>
      <c r="AM15" s="88">
        <v>43415</v>
      </c>
      <c r="AN15" s="88">
        <v>50960</v>
      </c>
      <c r="AO15" s="93">
        <v>162591</v>
      </c>
      <c r="AP15" s="88">
        <v>56337</v>
      </c>
      <c r="AQ15" s="88">
        <v>28095</v>
      </c>
      <c r="AR15" s="88">
        <v>56386</v>
      </c>
      <c r="AS15" s="100">
        <v>132630</v>
      </c>
      <c r="AT15" s="88">
        <v>74349</v>
      </c>
      <c r="AU15" s="100">
        <v>79641</v>
      </c>
      <c r="AV15" s="93">
        <v>215167</v>
      </c>
      <c r="AW15" s="101">
        <v>212271</v>
      </c>
      <c r="AX15" s="88">
        <v>86523</v>
      </c>
      <c r="AY15" s="88">
        <v>101795</v>
      </c>
      <c r="AZ15" s="88">
        <v>110734</v>
      </c>
      <c r="BA15" s="100">
        <v>98106</v>
      </c>
      <c r="BB15" s="100">
        <v>265720.584408</v>
      </c>
      <c r="BC15" s="88">
        <v>111273</v>
      </c>
      <c r="BD15" s="93">
        <v>376993.584408</v>
      </c>
      <c r="BE15" s="372">
        <v>88466</v>
      </c>
      <c r="BF15" s="88">
        <v>99366</v>
      </c>
      <c r="BG15" s="88">
        <v>104888.8</v>
      </c>
      <c r="BH15" s="88">
        <v>108097</v>
      </c>
      <c r="BI15" s="88">
        <v>108098</v>
      </c>
      <c r="BJ15" s="93">
        <v>400818.8</v>
      </c>
      <c r="BK15" s="93">
        <v>400818.8</v>
      </c>
      <c r="BL15" s="88">
        <v>116776</v>
      </c>
      <c r="BM15" s="88">
        <v>115082</v>
      </c>
      <c r="BN15" s="88">
        <v>115082</v>
      </c>
      <c r="BO15" s="88">
        <v>121198</v>
      </c>
      <c r="BP15" s="88">
        <v>121198</v>
      </c>
      <c r="BQ15" s="88">
        <v>130568</v>
      </c>
      <c r="BR15" s="93">
        <v>483624</v>
      </c>
      <c r="BS15" s="88">
        <v>111033</v>
      </c>
      <c r="BT15" s="88">
        <v>104125</v>
      </c>
      <c r="BU15" s="88">
        <v>102102</v>
      </c>
      <c r="BV15" s="232">
        <v>99311</v>
      </c>
      <c r="BW15" s="473">
        <v>416571</v>
      </c>
    </row>
    <row r="16" spans="1:75" s="91" customFormat="1" ht="12.75">
      <c r="A16" s="139" t="s">
        <v>517</v>
      </c>
      <c r="B16" s="88"/>
      <c r="C16" s="88"/>
      <c r="D16" s="88"/>
      <c r="E16" s="88"/>
      <c r="F16" s="93"/>
      <c r="G16" s="88"/>
      <c r="H16" s="88"/>
      <c r="I16" s="88"/>
      <c r="J16" s="88"/>
      <c r="K16" s="93"/>
      <c r="L16" s="88"/>
      <c r="M16" s="88"/>
      <c r="N16" s="88"/>
      <c r="O16" s="88"/>
      <c r="P16" s="93"/>
      <c r="Q16" s="88"/>
      <c r="R16" s="88"/>
      <c r="S16" s="88"/>
      <c r="T16" s="88"/>
      <c r="U16" s="93"/>
      <c r="V16" s="88"/>
      <c r="W16" s="88"/>
      <c r="X16" s="88"/>
      <c r="Y16" s="88"/>
      <c r="Z16" s="93"/>
      <c r="AA16" s="88">
        <f t="shared" si="3"/>
        <v>35213</v>
      </c>
      <c r="AB16" s="88">
        <v>84487</v>
      </c>
      <c r="AC16" s="88">
        <v>74565</v>
      </c>
      <c r="AD16" s="88">
        <f>34518+2441</f>
        <v>36959</v>
      </c>
      <c r="AE16" s="93">
        <v>231224</v>
      </c>
      <c r="AF16" s="88">
        <v>43911</v>
      </c>
      <c r="AG16" s="88">
        <v>74577</v>
      </c>
      <c r="AH16" s="88">
        <f t="shared" si="4"/>
        <v>63004</v>
      </c>
      <c r="AI16" s="88">
        <v>53652</v>
      </c>
      <c r="AJ16" s="93">
        <v>235144</v>
      </c>
      <c r="AK16" s="88">
        <v>57846</v>
      </c>
      <c r="AL16" s="88">
        <v>86259</v>
      </c>
      <c r="AM16" s="88">
        <v>22885</v>
      </c>
      <c r="AN16" s="88">
        <v>-24411</v>
      </c>
      <c r="AO16" s="93">
        <v>142579</v>
      </c>
      <c r="AP16" s="88">
        <v>24551</v>
      </c>
      <c r="AQ16" s="88">
        <v>63198</v>
      </c>
      <c r="AR16" s="88">
        <v>22346</v>
      </c>
      <c r="AS16" s="100">
        <v>110309</v>
      </c>
      <c r="AT16" s="88">
        <v>11035</v>
      </c>
      <c r="AU16" s="100">
        <v>6678.6</v>
      </c>
      <c r="AV16" s="93">
        <v>12130</v>
      </c>
      <c r="AW16" s="101">
        <v>116987.6</v>
      </c>
      <c r="AX16" s="88">
        <v>20810.113252</v>
      </c>
      <c r="AY16" s="88">
        <v>44735</v>
      </c>
      <c r="AZ16" s="88">
        <v>63426</v>
      </c>
      <c r="BA16" s="100">
        <v>63426</v>
      </c>
      <c r="BB16" s="100">
        <v>128971.11325200001</v>
      </c>
      <c r="BC16" s="88">
        <v>37537</v>
      </c>
      <c r="BD16" s="93">
        <v>166508.113252</v>
      </c>
      <c r="BE16" s="372">
        <v>24381.113252</v>
      </c>
      <c r="BF16" s="88">
        <v>42014</v>
      </c>
      <c r="BG16" s="88">
        <v>80403</v>
      </c>
      <c r="BH16" s="88">
        <v>29752</v>
      </c>
      <c r="BI16" s="88">
        <v>30120</v>
      </c>
      <c r="BJ16" s="93">
        <v>176550.113252</v>
      </c>
      <c r="BK16" s="93">
        <v>178041.113252</v>
      </c>
      <c r="BL16" s="88">
        <v>66767</v>
      </c>
      <c r="BM16" s="88">
        <v>45359</v>
      </c>
      <c r="BN16" s="88">
        <v>45743</v>
      </c>
      <c r="BO16" s="88">
        <v>10750.072</v>
      </c>
      <c r="BP16" s="88">
        <v>11578</v>
      </c>
      <c r="BQ16" s="88">
        <v>-5398</v>
      </c>
      <c r="BR16" s="93">
        <v>118670</v>
      </c>
      <c r="BS16" s="88">
        <v>53266</v>
      </c>
      <c r="BT16" s="88">
        <v>-5629</v>
      </c>
      <c r="BU16" s="88">
        <v>86094</v>
      </c>
      <c r="BV16" s="232">
        <v>35156</v>
      </c>
      <c r="BW16" s="473">
        <v>168887</v>
      </c>
    </row>
    <row r="17" spans="1:75" s="91" customFormat="1" ht="12.75">
      <c r="A17" s="139" t="s">
        <v>516</v>
      </c>
      <c r="B17" s="88"/>
      <c r="C17" s="88"/>
      <c r="D17" s="88"/>
      <c r="E17" s="88"/>
      <c r="F17" s="93"/>
      <c r="G17" s="88"/>
      <c r="H17" s="88"/>
      <c r="I17" s="88"/>
      <c r="J17" s="88"/>
      <c r="K17" s="93"/>
      <c r="L17" s="88"/>
      <c r="M17" s="88"/>
      <c r="N17" s="88"/>
      <c r="O17" s="88"/>
      <c r="P17" s="93"/>
      <c r="Q17" s="88"/>
      <c r="R17" s="88"/>
      <c r="S17" s="88"/>
      <c r="T17" s="88"/>
      <c r="U17" s="93"/>
      <c r="V17" s="88"/>
      <c r="W17" s="88"/>
      <c r="X17" s="88"/>
      <c r="Y17" s="88"/>
      <c r="Z17" s="93"/>
      <c r="AA17" s="88">
        <f t="shared" si="3"/>
        <v>13298</v>
      </c>
      <c r="AB17" s="88">
        <v>11023</v>
      </c>
      <c r="AC17" s="88">
        <v>7101</v>
      </c>
      <c r="AD17" s="88">
        <f>11194+302</f>
        <v>11496</v>
      </c>
      <c r="AE17" s="93">
        <v>42918</v>
      </c>
      <c r="AF17" s="88">
        <v>14467</v>
      </c>
      <c r="AG17" s="88">
        <v>10069</v>
      </c>
      <c r="AH17" s="88">
        <f t="shared" si="4"/>
        <v>10104</v>
      </c>
      <c r="AI17" s="88">
        <v>11545</v>
      </c>
      <c r="AJ17" s="93">
        <v>46185</v>
      </c>
      <c r="AK17" s="88">
        <v>13370</v>
      </c>
      <c r="AL17" s="88">
        <v>11706</v>
      </c>
      <c r="AM17" s="88">
        <v>10921</v>
      </c>
      <c r="AN17" s="88">
        <v>14467</v>
      </c>
      <c r="AO17" s="93">
        <v>50464</v>
      </c>
      <c r="AP17" s="88">
        <v>21116</v>
      </c>
      <c r="AQ17" s="88">
        <v>14575</v>
      </c>
      <c r="AR17" s="88">
        <v>19928</v>
      </c>
      <c r="AS17" s="100">
        <v>55627</v>
      </c>
      <c r="AT17" s="88">
        <v>22380</v>
      </c>
      <c r="AU17" s="100">
        <v>21966</v>
      </c>
      <c r="AV17" s="93">
        <v>77999</v>
      </c>
      <c r="AW17" s="101">
        <v>77593</v>
      </c>
      <c r="AX17" s="88">
        <v>30223</v>
      </c>
      <c r="AY17" s="88">
        <v>26077</v>
      </c>
      <c r="AZ17" s="88">
        <v>13598</v>
      </c>
      <c r="BA17" s="100">
        <v>13598</v>
      </c>
      <c r="BB17" s="100">
        <v>69898</v>
      </c>
      <c r="BC17" s="88">
        <v>17659</v>
      </c>
      <c r="BD17" s="93">
        <v>87557</v>
      </c>
      <c r="BE17" s="372">
        <v>21154.784408</v>
      </c>
      <c r="BF17" s="88">
        <v>22520</v>
      </c>
      <c r="BG17" s="88">
        <v>12391</v>
      </c>
      <c r="BH17" s="88">
        <v>15110</v>
      </c>
      <c r="BI17" s="88">
        <v>15231</v>
      </c>
      <c r="BJ17" s="93">
        <v>71175.784408</v>
      </c>
      <c r="BK17" s="93">
        <v>71770.784408</v>
      </c>
      <c r="BL17" s="88">
        <v>23323.816839</v>
      </c>
      <c r="BM17" s="88">
        <v>18870</v>
      </c>
      <c r="BN17" s="88">
        <v>19028.183161</v>
      </c>
      <c r="BO17" s="88">
        <v>20423</v>
      </c>
      <c r="BP17" s="88">
        <v>20500</v>
      </c>
      <c r="BQ17" s="88">
        <v>23140</v>
      </c>
      <c r="BR17" s="93">
        <v>85992</v>
      </c>
      <c r="BS17" s="88">
        <v>17774</v>
      </c>
      <c r="BT17" s="88">
        <v>13518</v>
      </c>
      <c r="BU17" s="88">
        <v>17963</v>
      </c>
      <c r="BV17" s="232">
        <v>9182</v>
      </c>
      <c r="BW17" s="473">
        <v>58437</v>
      </c>
    </row>
    <row r="18" spans="1:73" s="106" customFormat="1" ht="11.25" customHeight="1" hidden="1">
      <c r="A18" s="406" t="s">
        <v>62</v>
      </c>
      <c r="AA18" s="106">
        <f t="shared" si="3"/>
        <v>8059</v>
      </c>
      <c r="AB18" s="106">
        <v>8446</v>
      </c>
      <c r="AC18" s="106">
        <v>10068</v>
      </c>
      <c r="AD18" s="106">
        <f>15198+1</f>
        <v>15199</v>
      </c>
      <c r="AE18" s="106">
        <v>41772</v>
      </c>
      <c r="AF18" s="106">
        <v>17225</v>
      </c>
      <c r="AG18" s="106">
        <v>17090</v>
      </c>
      <c r="AH18" s="106">
        <f t="shared" si="4"/>
        <v>16695</v>
      </c>
      <c r="AI18" s="106">
        <v>9284</v>
      </c>
      <c r="AJ18" s="106">
        <v>60294</v>
      </c>
      <c r="AK18" s="106">
        <v>7414</v>
      </c>
      <c r="AL18" s="106">
        <v>-8214</v>
      </c>
      <c r="AM18" s="106">
        <v>4347</v>
      </c>
      <c r="AN18" s="106">
        <v>8585</v>
      </c>
      <c r="AO18" s="106">
        <v>12132</v>
      </c>
      <c r="AP18" s="106">
        <v>1016</v>
      </c>
      <c r="AQ18" s="106">
        <v>-4638</v>
      </c>
      <c r="AR18" s="106">
        <v>6117</v>
      </c>
      <c r="AS18" s="300">
        <v>2506</v>
      </c>
      <c r="AT18" s="106">
        <v>547</v>
      </c>
      <c r="AU18" s="300">
        <v>583</v>
      </c>
      <c r="AV18" s="106">
        <v>3042</v>
      </c>
      <c r="AW18" s="300">
        <v>3089</v>
      </c>
      <c r="AX18" s="106">
        <v>2079</v>
      </c>
      <c r="AY18" s="106">
        <v>5997</v>
      </c>
      <c r="AZ18" s="106">
        <v>10614</v>
      </c>
      <c r="BA18" s="300">
        <v>10614</v>
      </c>
      <c r="BB18" s="300">
        <v>18690</v>
      </c>
      <c r="BC18" s="106">
        <v>699</v>
      </c>
      <c r="BD18" s="106">
        <v>19389</v>
      </c>
      <c r="BE18" s="378"/>
      <c r="BF18" s="106">
        <v>0</v>
      </c>
      <c r="BG18" s="106">
        <v>0</v>
      </c>
      <c r="BM18" s="106">
        <v>0</v>
      </c>
      <c r="BO18" s="106">
        <v>0</v>
      </c>
      <c r="BU18" s="106">
        <v>0</v>
      </c>
    </row>
    <row r="19" spans="1:75" s="91" customFormat="1" ht="12.75">
      <c r="A19" s="124" t="s">
        <v>195</v>
      </c>
      <c r="B19" s="88"/>
      <c r="C19" s="88"/>
      <c r="D19" s="88"/>
      <c r="E19" s="88"/>
      <c r="F19" s="93"/>
      <c r="G19" s="88"/>
      <c r="H19" s="88"/>
      <c r="I19" s="88"/>
      <c r="J19" s="88"/>
      <c r="K19" s="93"/>
      <c r="L19" s="88"/>
      <c r="M19" s="88"/>
      <c r="N19" s="88"/>
      <c r="O19" s="88"/>
      <c r="P19" s="93"/>
      <c r="Q19" s="88"/>
      <c r="R19" s="88"/>
      <c r="S19" s="88"/>
      <c r="T19" s="88"/>
      <c r="U19" s="93"/>
      <c r="V19" s="88"/>
      <c r="W19" s="88"/>
      <c r="X19" s="88"/>
      <c r="Y19" s="88"/>
      <c r="Z19" s="93"/>
      <c r="AA19" s="88">
        <f t="shared" si="3"/>
        <v>-9028</v>
      </c>
      <c r="AB19" s="88">
        <v>-11805</v>
      </c>
      <c r="AC19" s="88">
        <v>-7415</v>
      </c>
      <c r="AD19" s="88">
        <f>-7353-206</f>
        <v>-7559</v>
      </c>
      <c r="AE19" s="93">
        <v>-35807</v>
      </c>
      <c r="AF19" s="88">
        <v>-5769</v>
      </c>
      <c r="AG19" s="88">
        <v>-6865</v>
      </c>
      <c r="AH19" s="88">
        <f t="shared" si="4"/>
        <v>-6670</v>
      </c>
      <c r="AI19" s="88">
        <v>-254</v>
      </c>
      <c r="AJ19" s="93">
        <v>-19558</v>
      </c>
      <c r="AK19" s="88">
        <v>-6592</v>
      </c>
      <c r="AL19" s="88">
        <v>-8988</v>
      </c>
      <c r="AM19" s="88">
        <v>-5935</v>
      </c>
      <c r="AN19" s="88">
        <v>-6394</v>
      </c>
      <c r="AO19" s="93">
        <v>-27909</v>
      </c>
      <c r="AP19" s="88">
        <v>-2662</v>
      </c>
      <c r="AQ19" s="88">
        <v>-17291</v>
      </c>
      <c r="AR19" s="88">
        <v>-8627</v>
      </c>
      <c r="AS19" s="100">
        <v>-28513</v>
      </c>
      <c r="AT19" s="88">
        <v>-15071</v>
      </c>
      <c r="AU19" s="100">
        <v>-5153.9</v>
      </c>
      <c r="AV19" s="93">
        <v>-43651</v>
      </c>
      <c r="AW19" s="101">
        <v>-33666.9</v>
      </c>
      <c r="AX19" s="88">
        <v>-7561</v>
      </c>
      <c r="AY19" s="88">
        <v>-17965</v>
      </c>
      <c r="AZ19" s="88">
        <v>-7082</v>
      </c>
      <c r="BA19" s="100">
        <v>-7082</v>
      </c>
      <c r="BB19" s="100">
        <v>-32608</v>
      </c>
      <c r="BC19" s="88">
        <v>-15285</v>
      </c>
      <c r="BD19" s="93">
        <v>-47893</v>
      </c>
      <c r="BE19" s="372">
        <v>-7561</v>
      </c>
      <c r="BF19" s="88">
        <v>-8915</v>
      </c>
      <c r="BG19" s="88">
        <v>-12228</v>
      </c>
      <c r="BH19" s="88">
        <v>-10066</v>
      </c>
      <c r="BI19" s="88">
        <v>-8669</v>
      </c>
      <c r="BJ19" s="93">
        <v>-38770</v>
      </c>
      <c r="BK19" s="93">
        <v>-32945</v>
      </c>
      <c r="BL19" s="88">
        <v>-15856.650419889898</v>
      </c>
      <c r="BM19" s="88">
        <v>-10594</v>
      </c>
      <c r="BN19" s="88">
        <v>-9582.349580110102</v>
      </c>
      <c r="BO19" s="88">
        <v>-5447.072</v>
      </c>
      <c r="BP19" s="88">
        <v>-3806</v>
      </c>
      <c r="BQ19" s="88">
        <v>-217</v>
      </c>
      <c r="BR19" s="93">
        <v>-29462</v>
      </c>
      <c r="BS19" s="88">
        <v>-7237</v>
      </c>
      <c r="BT19" s="88">
        <v>-5997</v>
      </c>
      <c r="BU19" s="88">
        <v>-5543</v>
      </c>
      <c r="BV19" s="232">
        <v>-19932</v>
      </c>
      <c r="BW19" s="473">
        <v>-38709</v>
      </c>
    </row>
    <row r="20" spans="1:75" s="91" customFormat="1" ht="12.75">
      <c r="A20" s="124" t="s">
        <v>450</v>
      </c>
      <c r="B20" s="88"/>
      <c r="C20" s="88"/>
      <c r="D20" s="88"/>
      <c r="E20" s="88"/>
      <c r="F20" s="93"/>
      <c r="G20" s="88"/>
      <c r="H20" s="88"/>
      <c r="I20" s="88"/>
      <c r="J20" s="88"/>
      <c r="K20" s="93"/>
      <c r="L20" s="88"/>
      <c r="M20" s="88"/>
      <c r="N20" s="88"/>
      <c r="O20" s="88"/>
      <c r="P20" s="93"/>
      <c r="Q20" s="88"/>
      <c r="R20" s="88"/>
      <c r="S20" s="88"/>
      <c r="T20" s="88"/>
      <c r="U20" s="93"/>
      <c r="V20" s="88"/>
      <c r="W20" s="88"/>
      <c r="X20" s="88"/>
      <c r="Y20" s="88"/>
      <c r="Z20" s="93"/>
      <c r="AA20" s="88">
        <f t="shared" si="3"/>
        <v>5538</v>
      </c>
      <c r="AB20" s="88">
        <v>1096</v>
      </c>
      <c r="AC20" s="88">
        <v>221</v>
      </c>
      <c r="AD20" s="88">
        <v>1869</v>
      </c>
      <c r="AE20" s="93">
        <v>8724</v>
      </c>
      <c r="AF20" s="88">
        <v>-1421</v>
      </c>
      <c r="AG20" s="88">
        <v>-1899</v>
      </c>
      <c r="AH20" s="88">
        <f t="shared" si="4"/>
        <v>-576</v>
      </c>
      <c r="AI20" s="88">
        <v>2521</v>
      </c>
      <c r="AJ20" s="93">
        <v>-1375</v>
      </c>
      <c r="AK20" s="88">
        <v>-1470</v>
      </c>
      <c r="AL20" s="88">
        <v>-1078</v>
      </c>
      <c r="AM20" s="88">
        <v>5285</v>
      </c>
      <c r="AN20" s="88">
        <v>3705</v>
      </c>
      <c r="AO20" s="93">
        <v>6442</v>
      </c>
      <c r="AP20" s="88">
        <v>-6726</v>
      </c>
      <c r="AQ20" s="88">
        <v>8960</v>
      </c>
      <c r="AR20" s="88">
        <v>2176</v>
      </c>
      <c r="AS20" s="100">
        <v>4002</v>
      </c>
      <c r="AT20" s="88">
        <v>-1533</v>
      </c>
      <c r="AU20" s="100">
        <v>-1618</v>
      </c>
      <c r="AV20" s="93">
        <v>2876</v>
      </c>
      <c r="AW20" s="101">
        <v>2384</v>
      </c>
      <c r="AX20" s="88">
        <v>-1724</v>
      </c>
      <c r="AY20" s="88">
        <v>-866</v>
      </c>
      <c r="AZ20" s="88">
        <v>1797</v>
      </c>
      <c r="BA20" s="100">
        <v>1797</v>
      </c>
      <c r="BB20" s="100">
        <v>-793</v>
      </c>
      <c r="BC20" s="88">
        <v>-2497</v>
      </c>
      <c r="BD20" s="93">
        <v>-3290</v>
      </c>
      <c r="BE20" s="372">
        <v>-3425</v>
      </c>
      <c r="BF20" s="88">
        <v>-8581</v>
      </c>
      <c r="BG20" s="88">
        <v>-4996</v>
      </c>
      <c r="BH20" s="88">
        <v>5426</v>
      </c>
      <c r="BI20" s="88">
        <v>5426</v>
      </c>
      <c r="BJ20" s="93">
        <v>-11576</v>
      </c>
      <c r="BK20" s="93">
        <v>-11576</v>
      </c>
      <c r="BL20" s="88">
        <v>-4383</v>
      </c>
      <c r="BM20" s="88">
        <v>-4909</v>
      </c>
      <c r="BN20" s="88">
        <v>-4909</v>
      </c>
      <c r="BO20" s="88">
        <v>-8568</v>
      </c>
      <c r="BP20" s="88">
        <v>-8568</v>
      </c>
      <c r="BQ20" s="88">
        <v>4128</v>
      </c>
      <c r="BR20" s="93">
        <v>-13732</v>
      </c>
      <c r="BS20" s="88">
        <v>322</v>
      </c>
      <c r="BT20" s="88">
        <v>-11939</v>
      </c>
      <c r="BU20" s="88">
        <v>-12804</v>
      </c>
      <c r="BV20" s="232">
        <v>5347</v>
      </c>
      <c r="BW20" s="473">
        <v>-19074</v>
      </c>
    </row>
    <row r="21" spans="1:57" s="106" customFormat="1" ht="25.5" hidden="1">
      <c r="A21" s="406" t="s">
        <v>414</v>
      </c>
      <c r="AA21" s="106">
        <f>SUM(AA15:AA20)</f>
        <v>97099</v>
      </c>
      <c r="AB21" s="106">
        <f>SUM(AB15:AB20)</f>
        <v>134928</v>
      </c>
      <c r="AC21" s="106">
        <f>SUM(AC15:AC20)</f>
        <v>127123</v>
      </c>
      <c r="AD21" s="106">
        <f>SUM(AD15:AD20)</f>
        <v>86235</v>
      </c>
      <c r="AE21" s="106">
        <f>SUM(AE15:AE20)</f>
        <v>445385</v>
      </c>
      <c r="AF21" s="106">
        <f aca="true" t="shared" si="5" ref="AF21:AL21">SUM(AF15:AF20)</f>
        <v>95278</v>
      </c>
      <c r="AG21" s="106">
        <f t="shared" si="5"/>
        <v>123123</v>
      </c>
      <c r="AH21" s="106">
        <f t="shared" si="5"/>
        <v>116700</v>
      </c>
      <c r="AI21" s="106">
        <f t="shared" si="5"/>
        <v>104857</v>
      </c>
      <c r="AJ21" s="106">
        <f t="shared" si="5"/>
        <v>439958</v>
      </c>
      <c r="AK21" s="106">
        <f t="shared" si="5"/>
        <v>101624</v>
      </c>
      <c r="AL21" s="106">
        <f t="shared" si="5"/>
        <v>116845</v>
      </c>
      <c r="AM21" s="106">
        <v>80918</v>
      </c>
      <c r="AN21" s="106">
        <v>46912</v>
      </c>
      <c r="AO21" s="106">
        <v>346299</v>
      </c>
      <c r="AP21" s="106">
        <v>93632</v>
      </c>
      <c r="AQ21" s="106">
        <v>92898</v>
      </c>
      <c r="AR21" s="106">
        <v>98326</v>
      </c>
      <c r="AS21" s="300"/>
      <c r="AT21" s="106">
        <v>91707</v>
      </c>
      <c r="AU21" s="300"/>
      <c r="AV21" s="106">
        <v>376563</v>
      </c>
      <c r="AW21" s="300"/>
      <c r="AX21" s="106">
        <v>130350.11325200001</v>
      </c>
      <c r="AY21" s="106">
        <v>159773</v>
      </c>
      <c r="AZ21" s="106">
        <v>193087</v>
      </c>
      <c r="BA21" s="300"/>
      <c r="BB21" s="300"/>
      <c r="BE21" s="378"/>
    </row>
    <row r="22" spans="1:57" s="106" customFormat="1" ht="12.75" hidden="1">
      <c r="A22" s="406" t="s">
        <v>415</v>
      </c>
      <c r="AR22" s="106">
        <v>-8295</v>
      </c>
      <c r="AS22" s="300"/>
      <c r="AT22" s="106">
        <v>6590</v>
      </c>
      <c r="AU22" s="300"/>
      <c r="AV22" s="106">
        <v>-1705</v>
      </c>
      <c r="AW22" s="300"/>
      <c r="AX22" s="106">
        <v>-7334.215592</v>
      </c>
      <c r="AY22" s="106">
        <v>-13369</v>
      </c>
      <c r="AZ22" s="106">
        <v>-12628</v>
      </c>
      <c r="BA22" s="300"/>
      <c r="BB22" s="300"/>
      <c r="BE22" s="378"/>
    </row>
    <row r="23" spans="1:75" s="91" customFormat="1" ht="12.75">
      <c r="A23" s="104" t="s">
        <v>416</v>
      </c>
      <c r="B23" s="96"/>
      <c r="C23" s="96"/>
      <c r="D23" s="96"/>
      <c r="E23" s="96"/>
      <c r="F23" s="97"/>
      <c r="G23" s="96"/>
      <c r="H23" s="96"/>
      <c r="I23" s="96"/>
      <c r="J23" s="96"/>
      <c r="K23" s="97"/>
      <c r="L23" s="96"/>
      <c r="M23" s="96"/>
      <c r="N23" s="96"/>
      <c r="O23" s="96"/>
      <c r="P23" s="97"/>
      <c r="Q23" s="96"/>
      <c r="R23" s="96"/>
      <c r="S23" s="96"/>
      <c r="T23" s="96"/>
      <c r="U23" s="97"/>
      <c r="V23" s="96"/>
      <c r="W23" s="96"/>
      <c r="X23" s="96"/>
      <c r="Y23" s="96"/>
      <c r="Z23" s="97"/>
      <c r="AA23" s="96"/>
      <c r="AB23" s="96"/>
      <c r="AC23" s="96"/>
      <c r="AD23" s="96"/>
      <c r="AE23" s="97"/>
      <c r="AF23" s="96"/>
      <c r="AG23" s="96"/>
      <c r="AH23" s="96"/>
      <c r="AI23" s="96"/>
      <c r="AJ23" s="97"/>
      <c r="AK23" s="96"/>
      <c r="AL23" s="96"/>
      <c r="AM23" s="96"/>
      <c r="AN23" s="96"/>
      <c r="AO23" s="97"/>
      <c r="AP23" s="96">
        <v>93632</v>
      </c>
      <c r="AQ23" s="96">
        <v>92898</v>
      </c>
      <c r="AR23" s="96">
        <v>90031</v>
      </c>
      <c r="AS23" s="294">
        <v>276561</v>
      </c>
      <c r="AT23" s="96">
        <v>98297</v>
      </c>
      <c r="AU23" s="294">
        <v>102096.7</v>
      </c>
      <c r="AV23" s="97">
        <v>374858</v>
      </c>
      <c r="AW23" s="291">
        <v>378657.7</v>
      </c>
      <c r="AX23" s="96">
        <v>123015.89766000002</v>
      </c>
      <c r="AY23" s="96">
        <v>146404</v>
      </c>
      <c r="AZ23" s="96">
        <v>180459</v>
      </c>
      <c r="BA23" s="294">
        <v>180459</v>
      </c>
      <c r="BB23" s="294">
        <v>449878.69766</v>
      </c>
      <c r="BC23" s="96">
        <v>149386</v>
      </c>
      <c r="BD23" s="97">
        <v>599264.6976600001</v>
      </c>
      <c r="BE23" s="373">
        <v>123015.89765999999</v>
      </c>
      <c r="BF23" s="96">
        <v>146404</v>
      </c>
      <c r="BG23" s="96">
        <v>180458.8</v>
      </c>
      <c r="BH23" s="96">
        <v>148319</v>
      </c>
      <c r="BI23" s="96">
        <v>150206</v>
      </c>
      <c r="BJ23" s="97">
        <v>598198.6976600001</v>
      </c>
      <c r="BK23" s="97">
        <v>606109.6976600001</v>
      </c>
      <c r="BL23" s="96">
        <v>186627.16641911012</v>
      </c>
      <c r="BM23" s="96">
        <v>163808</v>
      </c>
      <c r="BN23" s="96">
        <v>165361.83358088988</v>
      </c>
      <c r="BO23" s="96">
        <v>138356</v>
      </c>
      <c r="BP23" s="96">
        <v>140902</v>
      </c>
      <c r="BQ23" s="96">
        <v>152221</v>
      </c>
      <c r="BR23" s="97">
        <v>645092</v>
      </c>
      <c r="BS23" s="96">
        <v>175158</v>
      </c>
      <c r="BT23" s="96">
        <v>94078</v>
      </c>
      <c r="BU23" s="96">
        <v>187812</v>
      </c>
      <c r="BV23" s="96">
        <f>SUM(BV15:BV20)</f>
        <v>129064</v>
      </c>
      <c r="BW23" s="97">
        <f>SUM(BW15:BW20)</f>
        <v>586112</v>
      </c>
    </row>
    <row r="24" ht="12.75"/>
    <row r="25" ht="12.75">
      <c r="A25" s="3" t="s">
        <v>478</v>
      </c>
    </row>
    <row r="26" ht="12.75">
      <c r="A26" s="3" t="s">
        <v>523</v>
      </c>
    </row>
    <row r="27" spans="1:74" s="3" customFormat="1" ht="12.75">
      <c r="A27" s="3" t="s">
        <v>592</v>
      </c>
      <c r="AS27" s="265"/>
      <c r="AU27" s="265"/>
      <c r="AW27" s="265"/>
      <c r="BA27" s="265"/>
      <c r="BB27" s="265"/>
      <c r="BE27" s="360"/>
      <c r="BL27" s="171"/>
      <c r="BM27" s="171"/>
      <c r="BN27" s="171"/>
      <c r="BO27" s="171"/>
      <c r="BP27" s="171"/>
      <c r="BQ27" s="171"/>
      <c r="BS27" s="171"/>
      <c r="BT27" s="171"/>
      <c r="BU27" s="171"/>
      <c r="BV27" s="171"/>
    </row>
    <row r="28" ht="12.75">
      <c r="A28" s="3"/>
    </row>
    <row r="29" spans="1:75" s="106" customFormat="1" ht="27">
      <c r="A29" s="180" t="s">
        <v>324</v>
      </c>
      <c r="B29" s="181" t="s">
        <v>2</v>
      </c>
      <c r="C29" s="181" t="s">
        <v>3</v>
      </c>
      <c r="D29" s="181" t="s">
        <v>4</v>
      </c>
      <c r="E29" s="181" t="s">
        <v>5</v>
      </c>
      <c r="F29" s="181" t="s">
        <v>6</v>
      </c>
      <c r="G29" s="181" t="s">
        <v>12</v>
      </c>
      <c r="H29" s="181" t="s">
        <v>13</v>
      </c>
      <c r="I29" s="181" t="s">
        <v>14</v>
      </c>
      <c r="J29" s="181" t="s">
        <v>15</v>
      </c>
      <c r="K29" s="181" t="s">
        <v>16</v>
      </c>
      <c r="L29" s="181" t="s">
        <v>17</v>
      </c>
      <c r="M29" s="181" t="s">
        <v>18</v>
      </c>
      <c r="N29" s="181" t="s">
        <v>19</v>
      </c>
      <c r="O29" s="181" t="s">
        <v>20</v>
      </c>
      <c r="P29" s="181" t="s">
        <v>21</v>
      </c>
      <c r="Q29" s="181" t="s">
        <v>22</v>
      </c>
      <c r="R29" s="181" t="s">
        <v>23</v>
      </c>
      <c r="S29" s="181" t="s">
        <v>24</v>
      </c>
      <c r="T29" s="181" t="s">
        <v>25</v>
      </c>
      <c r="U29" s="181" t="s">
        <v>26</v>
      </c>
      <c r="V29" s="181" t="s">
        <v>27</v>
      </c>
      <c r="W29" s="181" t="s">
        <v>28</v>
      </c>
      <c r="X29" s="181" t="s">
        <v>29</v>
      </c>
      <c r="Y29" s="181" t="s">
        <v>30</v>
      </c>
      <c r="Z29" s="181" t="s">
        <v>31</v>
      </c>
      <c r="AA29" s="181" t="s">
        <v>32</v>
      </c>
      <c r="AB29" s="181" t="s">
        <v>33</v>
      </c>
      <c r="AC29" s="181" t="s">
        <v>34</v>
      </c>
      <c r="AD29" s="181" t="s">
        <v>271</v>
      </c>
      <c r="AE29" s="181" t="s">
        <v>272</v>
      </c>
      <c r="AF29" s="181" t="s">
        <v>274</v>
      </c>
      <c r="AG29" s="181" t="s">
        <v>276</v>
      </c>
      <c r="AH29" s="181" t="s">
        <v>278</v>
      </c>
      <c r="AI29" s="188" t="s">
        <v>280</v>
      </c>
      <c r="AJ29" s="188" t="s">
        <v>281</v>
      </c>
      <c r="AK29" s="188" t="s">
        <v>289</v>
      </c>
      <c r="AL29" s="188" t="s">
        <v>290</v>
      </c>
      <c r="AM29" s="188" t="s">
        <v>291</v>
      </c>
      <c r="AN29" s="188" t="s">
        <v>292</v>
      </c>
      <c r="AO29" s="188" t="s">
        <v>293</v>
      </c>
      <c r="AP29" s="188" t="s">
        <v>329</v>
      </c>
      <c r="AQ29" s="188" t="s">
        <v>330</v>
      </c>
      <c r="AR29" s="188" t="s">
        <v>331</v>
      </c>
      <c r="AS29" s="317" t="s">
        <v>490</v>
      </c>
      <c r="AT29" s="188" t="s">
        <v>332</v>
      </c>
      <c r="AU29" s="317" t="s">
        <v>477</v>
      </c>
      <c r="AV29" s="188" t="s">
        <v>333</v>
      </c>
      <c r="AW29" s="306" t="s">
        <v>460</v>
      </c>
      <c r="AX29" s="188" t="s">
        <v>448</v>
      </c>
      <c r="AY29" s="188" t="s">
        <v>451</v>
      </c>
      <c r="AZ29" s="188" t="s">
        <v>453</v>
      </c>
      <c r="BA29" s="306"/>
      <c r="BB29" s="317" t="s">
        <v>491</v>
      </c>
      <c r="BC29" s="188" t="s">
        <v>454</v>
      </c>
      <c r="BD29" s="188" t="s">
        <v>457</v>
      </c>
      <c r="BE29" s="387"/>
      <c r="BF29" s="226"/>
      <c r="BG29" s="226"/>
      <c r="BH29" s="226"/>
      <c r="BI29" s="226"/>
      <c r="BJ29" s="226"/>
      <c r="BK29" s="226"/>
      <c r="BL29" s="226"/>
      <c r="BM29" s="226"/>
      <c r="BN29" s="226"/>
      <c r="BO29" s="226"/>
      <c r="BP29" s="226"/>
      <c r="BQ29" s="226"/>
      <c r="BR29" s="226"/>
      <c r="BS29" s="226"/>
      <c r="BT29" s="226"/>
      <c r="BU29" s="226"/>
      <c r="BV29" s="226"/>
      <c r="BW29" s="226"/>
    </row>
    <row r="30" spans="1:75" s="106" customFormat="1" ht="12.75">
      <c r="A30" s="125" t="s">
        <v>344</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7"/>
      <c r="AJ30" s="127"/>
      <c r="AK30" s="127"/>
      <c r="AL30" s="127"/>
      <c r="AM30" s="127"/>
      <c r="AN30" s="127"/>
      <c r="AO30" s="127"/>
      <c r="AP30" s="127"/>
      <c r="AQ30" s="127"/>
      <c r="AR30" s="127"/>
      <c r="AS30" s="303"/>
      <c r="AT30" s="127"/>
      <c r="AU30" s="303"/>
      <c r="AV30" s="127"/>
      <c r="AW30" s="303"/>
      <c r="AX30" s="127"/>
      <c r="AY30" s="127"/>
      <c r="AZ30" s="127"/>
      <c r="BA30" s="303"/>
      <c r="BB30" s="303"/>
      <c r="BC30" s="127"/>
      <c r="BD30" s="127"/>
      <c r="BE30" s="388"/>
      <c r="BF30" s="329"/>
      <c r="BG30" s="329"/>
      <c r="BH30" s="329"/>
      <c r="BI30" s="329"/>
      <c r="BJ30" s="329"/>
      <c r="BK30" s="329"/>
      <c r="BL30" s="329"/>
      <c r="BM30" s="329"/>
      <c r="BN30" s="329"/>
      <c r="BO30" s="329"/>
      <c r="BP30" s="329"/>
      <c r="BQ30" s="329"/>
      <c r="BR30" s="329"/>
      <c r="BS30" s="329"/>
      <c r="BT30" s="329"/>
      <c r="BU30" s="329"/>
      <c r="BV30" s="329"/>
      <c r="BW30" s="329"/>
    </row>
    <row r="31" spans="1:74" s="106" customFormat="1" ht="12.75">
      <c r="A31" s="183" t="s">
        <v>192</v>
      </c>
      <c r="B31" s="88"/>
      <c r="C31" s="88"/>
      <c r="D31" s="88"/>
      <c r="E31" s="88"/>
      <c r="F31" s="204"/>
      <c r="G31" s="88"/>
      <c r="H31" s="88"/>
      <c r="I31" s="88"/>
      <c r="J31" s="88"/>
      <c r="K31" s="204"/>
      <c r="L31" s="88"/>
      <c r="M31" s="88"/>
      <c r="N31" s="88"/>
      <c r="O31" s="88"/>
      <c r="P31" s="204"/>
      <c r="Q31" s="88"/>
      <c r="R31" s="88"/>
      <c r="S31" s="88"/>
      <c r="T31" s="88"/>
      <c r="U31" s="204"/>
      <c r="V31" s="88"/>
      <c r="W31" s="88"/>
      <c r="X31" s="88"/>
      <c r="Y31" s="88"/>
      <c r="Z31" s="204"/>
      <c r="AA31" s="88">
        <f aca="true" t="shared" si="6" ref="AA31:AA36">AE31-AD31-AC31-AB31</f>
        <v>36690</v>
      </c>
      <c r="AB31" s="88">
        <v>32474</v>
      </c>
      <c r="AC31" s="88">
        <v>34893</v>
      </c>
      <c r="AD31" s="88">
        <f>15600+783</f>
        <v>16383</v>
      </c>
      <c r="AE31" s="204">
        <v>120440</v>
      </c>
      <c r="AF31" s="88">
        <v>17048</v>
      </c>
      <c r="AG31" s="88">
        <v>23538</v>
      </c>
      <c r="AH31" s="88">
        <f aca="true" t="shared" si="7" ref="AH31:AH36">AJ31-AI31-AG31-AF31</f>
        <v>20135</v>
      </c>
      <c r="AI31" s="88">
        <v>18143</v>
      </c>
      <c r="AJ31" s="204">
        <v>78864</v>
      </c>
      <c r="AK31" s="88">
        <v>23876</v>
      </c>
      <c r="AL31" s="88">
        <v>30559</v>
      </c>
      <c r="AM31" s="88">
        <v>32906</v>
      </c>
      <c r="AN31" s="88">
        <v>38474</v>
      </c>
      <c r="AO31" s="204">
        <v>125815</v>
      </c>
      <c r="AP31" s="88">
        <v>46036</v>
      </c>
      <c r="AQ31" s="88">
        <v>15178</v>
      </c>
      <c r="AR31" s="88">
        <v>18332</v>
      </c>
      <c r="AS31" s="100">
        <v>79546</v>
      </c>
      <c r="AT31" s="88">
        <v>29230</v>
      </c>
      <c r="AU31" s="100">
        <v>29140</v>
      </c>
      <c r="AV31" s="204">
        <v>108776</v>
      </c>
      <c r="AW31" s="309">
        <v>108686</v>
      </c>
      <c r="AX31" s="88">
        <v>23556</v>
      </c>
      <c r="AY31" s="88">
        <v>29624</v>
      </c>
      <c r="AZ31" s="88">
        <v>35466</v>
      </c>
      <c r="BA31" s="100"/>
      <c r="BB31" s="100">
        <v>88645.8</v>
      </c>
      <c r="BC31" s="88">
        <v>42167</v>
      </c>
      <c r="BD31" s="204">
        <v>130812.8</v>
      </c>
      <c r="BE31" s="380"/>
      <c r="BF31" s="330"/>
      <c r="BG31" s="330"/>
      <c r="BH31" s="330"/>
      <c r="BI31" s="330"/>
      <c r="BL31" s="330"/>
      <c r="BM31" s="330"/>
      <c r="BN31" s="330"/>
      <c r="BO31" s="330"/>
      <c r="BP31" s="330"/>
      <c r="BQ31" s="330"/>
      <c r="BS31" s="330"/>
      <c r="BT31" s="330"/>
      <c r="BU31" s="330"/>
      <c r="BV31" s="330"/>
    </row>
    <row r="32" spans="1:74" s="106" customFormat="1" ht="12.75">
      <c r="A32" s="183" t="s">
        <v>193</v>
      </c>
      <c r="B32" s="88"/>
      <c r="C32" s="88"/>
      <c r="D32" s="88"/>
      <c r="E32" s="88"/>
      <c r="F32" s="204"/>
      <c r="G32" s="88"/>
      <c r="H32" s="88"/>
      <c r="I32" s="88"/>
      <c r="J32" s="88"/>
      <c r="K32" s="204"/>
      <c r="L32" s="88"/>
      <c r="M32" s="88"/>
      <c r="N32" s="88"/>
      <c r="O32" s="88"/>
      <c r="P32" s="204"/>
      <c r="Q32" s="88"/>
      <c r="R32" s="88"/>
      <c r="S32" s="88"/>
      <c r="T32" s="88"/>
      <c r="U32" s="204"/>
      <c r="V32" s="88"/>
      <c r="W32" s="88"/>
      <c r="X32" s="88"/>
      <c r="Y32" s="88"/>
      <c r="Z32" s="204"/>
      <c r="AA32" s="88">
        <f t="shared" si="6"/>
        <v>19352</v>
      </c>
      <c r="AB32" s="88">
        <v>69079</v>
      </c>
      <c r="AC32" s="88">
        <v>58697</v>
      </c>
      <c r="AD32" s="88">
        <f>19459+2441</f>
        <v>21900</v>
      </c>
      <c r="AE32" s="204">
        <v>169028</v>
      </c>
      <c r="AF32" s="88">
        <v>28352</v>
      </c>
      <c r="AG32" s="88">
        <v>58530</v>
      </c>
      <c r="AH32" s="88">
        <f t="shared" si="7"/>
        <v>47220</v>
      </c>
      <c r="AI32" s="88">
        <v>37833</v>
      </c>
      <c r="AJ32" s="204">
        <v>171935</v>
      </c>
      <c r="AK32" s="88">
        <v>40149</v>
      </c>
      <c r="AL32" s="88">
        <v>68957</v>
      </c>
      <c r="AM32" s="88">
        <v>4539</v>
      </c>
      <c r="AN32" s="88">
        <v>-45677</v>
      </c>
      <c r="AO32" s="204">
        <v>67968</v>
      </c>
      <c r="AP32" s="88">
        <v>4676</v>
      </c>
      <c r="AQ32" s="88">
        <v>41289</v>
      </c>
      <c r="AR32" s="88">
        <v>5436</v>
      </c>
      <c r="AS32" s="100">
        <v>51401</v>
      </c>
      <c r="AT32" s="88">
        <v>-2557</v>
      </c>
      <c r="AU32" s="100">
        <v>-3684</v>
      </c>
      <c r="AV32" s="204">
        <v>48844</v>
      </c>
      <c r="AW32" s="309">
        <v>47717</v>
      </c>
      <c r="AX32" s="88">
        <v>9141</v>
      </c>
      <c r="AY32" s="88">
        <v>21434</v>
      </c>
      <c r="AZ32" s="88">
        <v>41716</v>
      </c>
      <c r="BA32" s="100"/>
      <c r="BB32" s="100">
        <v>72291</v>
      </c>
      <c r="BC32" s="88">
        <v>15091</v>
      </c>
      <c r="BD32" s="204">
        <v>87382</v>
      </c>
      <c r="BE32" s="380"/>
      <c r="BF32" s="330"/>
      <c r="BG32" s="330"/>
      <c r="BH32" s="330"/>
      <c r="BI32" s="330"/>
      <c r="BL32" s="330"/>
      <c r="BM32" s="330"/>
      <c r="BN32" s="330"/>
      <c r="BO32" s="330"/>
      <c r="BP32" s="330"/>
      <c r="BQ32" s="330"/>
      <c r="BS32" s="330"/>
      <c r="BT32" s="330"/>
      <c r="BU32" s="330"/>
      <c r="BV32" s="330"/>
    </row>
    <row r="33" spans="1:74" s="106" customFormat="1" ht="12.75">
      <c r="A33" s="183" t="s">
        <v>436</v>
      </c>
      <c r="B33" s="88"/>
      <c r="C33" s="88"/>
      <c r="D33" s="88"/>
      <c r="E33" s="88"/>
      <c r="F33" s="204"/>
      <c r="G33" s="88"/>
      <c r="H33" s="88"/>
      <c r="I33" s="88"/>
      <c r="J33" s="88"/>
      <c r="K33" s="204"/>
      <c r="L33" s="88"/>
      <c r="M33" s="88"/>
      <c r="N33" s="88"/>
      <c r="O33" s="88"/>
      <c r="P33" s="204"/>
      <c r="Q33" s="88"/>
      <c r="R33" s="88"/>
      <c r="S33" s="88"/>
      <c r="T33" s="88"/>
      <c r="U33" s="204"/>
      <c r="V33" s="88"/>
      <c r="W33" s="88"/>
      <c r="X33" s="88"/>
      <c r="Y33" s="88"/>
      <c r="Z33" s="204"/>
      <c r="AA33" s="88">
        <f t="shared" si="6"/>
        <v>11330</v>
      </c>
      <c r="AB33" s="88">
        <v>9684</v>
      </c>
      <c r="AC33" s="88">
        <v>5467</v>
      </c>
      <c r="AD33" s="88">
        <f>9388+302</f>
        <v>9690</v>
      </c>
      <c r="AE33" s="204">
        <v>36171</v>
      </c>
      <c r="AF33" s="88">
        <v>12816</v>
      </c>
      <c r="AG33" s="88">
        <v>8320</v>
      </c>
      <c r="AH33" s="88">
        <f t="shared" si="7"/>
        <v>8397</v>
      </c>
      <c r="AI33" s="88">
        <v>9210</v>
      </c>
      <c r="AJ33" s="204">
        <v>38743</v>
      </c>
      <c r="AK33" s="88">
        <v>11253</v>
      </c>
      <c r="AL33" s="88">
        <v>9503</v>
      </c>
      <c r="AM33" s="88">
        <v>8430</v>
      </c>
      <c r="AN33" s="88">
        <v>11393</v>
      </c>
      <c r="AO33" s="204">
        <v>40579</v>
      </c>
      <c r="AP33" s="88">
        <v>18617</v>
      </c>
      <c r="AQ33" s="88">
        <v>11981</v>
      </c>
      <c r="AR33" s="88">
        <v>17166</v>
      </c>
      <c r="AS33" s="100">
        <v>46437</v>
      </c>
      <c r="AT33" s="88">
        <v>17283</v>
      </c>
      <c r="AU33" s="100">
        <v>15465</v>
      </c>
      <c r="AV33" s="204">
        <v>65047</v>
      </c>
      <c r="AW33" s="309">
        <v>61902</v>
      </c>
      <c r="AX33" s="88">
        <v>25287</v>
      </c>
      <c r="AY33" s="88">
        <v>20654</v>
      </c>
      <c r="AZ33" s="88">
        <v>8751</v>
      </c>
      <c r="BA33" s="100"/>
      <c r="BB33" s="100">
        <v>54692</v>
      </c>
      <c r="BC33" s="88">
        <v>13010</v>
      </c>
      <c r="BD33" s="204">
        <v>67702</v>
      </c>
      <c r="BE33" s="380"/>
      <c r="BF33" s="330"/>
      <c r="BG33" s="330"/>
      <c r="BH33" s="330"/>
      <c r="BI33" s="330"/>
      <c r="BL33" s="330"/>
      <c r="BM33" s="330"/>
      <c r="BN33" s="330"/>
      <c r="BO33" s="330"/>
      <c r="BP33" s="330"/>
      <c r="BQ33" s="330"/>
      <c r="BS33" s="330"/>
      <c r="BT33" s="330"/>
      <c r="BU33" s="330"/>
      <c r="BV33" s="330"/>
    </row>
    <row r="34" spans="1:74" s="106" customFormat="1" ht="12.75">
      <c r="A34" s="183" t="s">
        <v>62</v>
      </c>
      <c r="B34" s="88"/>
      <c r="C34" s="88"/>
      <c r="D34" s="88"/>
      <c r="E34" s="88"/>
      <c r="F34" s="204"/>
      <c r="G34" s="88"/>
      <c r="H34" s="88"/>
      <c r="I34" s="88"/>
      <c r="J34" s="88"/>
      <c r="K34" s="204"/>
      <c r="L34" s="88"/>
      <c r="M34" s="88"/>
      <c r="N34" s="88"/>
      <c r="O34" s="88"/>
      <c r="P34" s="204"/>
      <c r="Q34" s="88"/>
      <c r="R34" s="88"/>
      <c r="S34" s="88"/>
      <c r="T34" s="88"/>
      <c r="U34" s="204"/>
      <c r="V34" s="88"/>
      <c r="W34" s="88"/>
      <c r="X34" s="88"/>
      <c r="Y34" s="88"/>
      <c r="Z34" s="204"/>
      <c r="AA34" s="88">
        <f t="shared" si="6"/>
        <v>3651</v>
      </c>
      <c r="AB34" s="88">
        <v>3919</v>
      </c>
      <c r="AC34" s="88">
        <v>5463</v>
      </c>
      <c r="AD34" s="88">
        <f>10251+1</f>
        <v>10252</v>
      </c>
      <c r="AE34" s="204">
        <v>23285</v>
      </c>
      <c r="AF34" s="88">
        <v>12630</v>
      </c>
      <c r="AG34" s="88">
        <v>12188</v>
      </c>
      <c r="AH34" s="88">
        <f t="shared" si="7"/>
        <v>11940</v>
      </c>
      <c r="AI34" s="88">
        <v>4134</v>
      </c>
      <c r="AJ34" s="204">
        <v>40892</v>
      </c>
      <c r="AK34" s="88">
        <v>2638</v>
      </c>
      <c r="AL34" s="88">
        <v>-13743</v>
      </c>
      <c r="AM34" s="88">
        <v>-190</v>
      </c>
      <c r="AN34" s="88">
        <v>3752</v>
      </c>
      <c r="AO34" s="204">
        <v>-7543</v>
      </c>
      <c r="AP34" s="88">
        <v>-3711</v>
      </c>
      <c r="AQ34" s="88">
        <v>-9335</v>
      </c>
      <c r="AR34" s="88">
        <v>1377</v>
      </c>
      <c r="AS34" s="100">
        <v>-11669</v>
      </c>
      <c r="AT34" s="88">
        <v>-3582</v>
      </c>
      <c r="AU34" s="100">
        <v>-3550</v>
      </c>
      <c r="AV34" s="204">
        <v>-15251</v>
      </c>
      <c r="AW34" s="309">
        <v>-15219</v>
      </c>
      <c r="AX34" s="88">
        <v>-2170</v>
      </c>
      <c r="AY34" s="88">
        <v>1576</v>
      </c>
      <c r="AZ34" s="88">
        <v>6046</v>
      </c>
      <c r="BA34" s="100"/>
      <c r="BB34" s="100">
        <v>5452</v>
      </c>
      <c r="BC34" s="88">
        <v>-3918</v>
      </c>
      <c r="BD34" s="204">
        <v>1534</v>
      </c>
      <c r="BE34" s="380"/>
      <c r="BF34" s="330"/>
      <c r="BG34" s="330"/>
      <c r="BH34" s="330"/>
      <c r="BI34" s="330"/>
      <c r="BL34" s="330"/>
      <c r="BM34" s="330"/>
      <c r="BN34" s="330"/>
      <c r="BO34" s="330"/>
      <c r="BP34" s="330"/>
      <c r="BQ34" s="330"/>
      <c r="BS34" s="330"/>
      <c r="BT34" s="330"/>
      <c r="BU34" s="330"/>
      <c r="BV34" s="330"/>
    </row>
    <row r="35" spans="1:74" s="106" customFormat="1" ht="12.75">
      <c r="A35" s="183" t="s">
        <v>195</v>
      </c>
      <c r="B35" s="88"/>
      <c r="C35" s="88"/>
      <c r="D35" s="88"/>
      <c r="E35" s="88"/>
      <c r="F35" s="204"/>
      <c r="G35" s="88"/>
      <c r="H35" s="88"/>
      <c r="I35" s="88"/>
      <c r="J35" s="88"/>
      <c r="K35" s="204"/>
      <c r="L35" s="88"/>
      <c r="M35" s="88"/>
      <c r="N35" s="88"/>
      <c r="O35" s="88"/>
      <c r="P35" s="204"/>
      <c r="Q35" s="88"/>
      <c r="R35" s="88"/>
      <c r="S35" s="88"/>
      <c r="T35" s="88"/>
      <c r="U35" s="204"/>
      <c r="V35" s="88"/>
      <c r="W35" s="88"/>
      <c r="X35" s="88"/>
      <c r="Y35" s="88"/>
      <c r="Z35" s="204"/>
      <c r="AA35" s="88">
        <f t="shared" si="6"/>
        <v>-11081</v>
      </c>
      <c r="AB35" s="88">
        <v>-13926</v>
      </c>
      <c r="AC35" s="88">
        <v>-9987</v>
      </c>
      <c r="AD35" s="88">
        <f>-9890-206</f>
        <v>-10096</v>
      </c>
      <c r="AE35" s="204">
        <v>-45090</v>
      </c>
      <c r="AF35" s="88">
        <v>-8225</v>
      </c>
      <c r="AG35" s="88">
        <v>-9590</v>
      </c>
      <c r="AH35" s="88">
        <f t="shared" si="7"/>
        <v>-9232</v>
      </c>
      <c r="AI35" s="88">
        <v>-2592</v>
      </c>
      <c r="AJ35" s="204">
        <v>-29639</v>
      </c>
      <c r="AK35" s="88">
        <v>-9145</v>
      </c>
      <c r="AL35" s="88">
        <v>-11505</v>
      </c>
      <c r="AM35" s="88">
        <v>-8565</v>
      </c>
      <c r="AN35" s="88">
        <v>-9675</v>
      </c>
      <c r="AO35" s="204">
        <v>-38890</v>
      </c>
      <c r="AP35" s="88">
        <v>-5483</v>
      </c>
      <c r="AQ35" s="88">
        <v>-20354</v>
      </c>
      <c r="AR35" s="88">
        <v>-8198</v>
      </c>
      <c r="AS35" s="100">
        <v>-34035</v>
      </c>
      <c r="AT35" s="88">
        <v>-12548</v>
      </c>
      <c r="AU35" s="100">
        <v>-7435</v>
      </c>
      <c r="AV35" s="204">
        <v>-46583</v>
      </c>
      <c r="AW35" s="309">
        <v>-41470</v>
      </c>
      <c r="AX35" s="88">
        <v>-4781</v>
      </c>
      <c r="AY35" s="88">
        <v>1951</v>
      </c>
      <c r="AZ35" s="88">
        <v>-14653</v>
      </c>
      <c r="BA35" s="100"/>
      <c r="BB35" s="100">
        <v>-17483</v>
      </c>
      <c r="BC35" s="88">
        <v>-6948</v>
      </c>
      <c r="BD35" s="204">
        <v>-24431</v>
      </c>
      <c r="BE35" s="380"/>
      <c r="BF35" s="330"/>
      <c r="BG35" s="330"/>
      <c r="BH35" s="330"/>
      <c r="BI35" s="330"/>
      <c r="BL35" s="330"/>
      <c r="BM35" s="330"/>
      <c r="BN35" s="330"/>
      <c r="BO35" s="330"/>
      <c r="BP35" s="330"/>
      <c r="BQ35" s="330"/>
      <c r="BS35" s="330"/>
      <c r="BT35" s="330"/>
      <c r="BU35" s="330"/>
      <c r="BV35" s="330"/>
    </row>
    <row r="36" spans="1:74" s="106" customFormat="1" ht="14.25">
      <c r="A36" s="183" t="s">
        <v>319</v>
      </c>
      <c r="B36" s="88"/>
      <c r="C36" s="88"/>
      <c r="D36" s="88"/>
      <c r="E36" s="88"/>
      <c r="F36" s="204"/>
      <c r="G36" s="88"/>
      <c r="H36" s="88"/>
      <c r="I36" s="88"/>
      <c r="J36" s="88"/>
      <c r="K36" s="204"/>
      <c r="L36" s="88"/>
      <c r="M36" s="88"/>
      <c r="N36" s="88"/>
      <c r="O36" s="88"/>
      <c r="P36" s="204"/>
      <c r="Q36" s="88"/>
      <c r="R36" s="88"/>
      <c r="S36" s="88"/>
      <c r="T36" s="88"/>
      <c r="U36" s="204"/>
      <c r="V36" s="88"/>
      <c r="W36" s="88"/>
      <c r="X36" s="88"/>
      <c r="Y36" s="88"/>
      <c r="Z36" s="204"/>
      <c r="AA36" s="88">
        <f t="shared" si="6"/>
        <v>5538</v>
      </c>
      <c r="AB36" s="88">
        <v>1096</v>
      </c>
      <c r="AC36" s="88">
        <v>221</v>
      </c>
      <c r="AD36" s="88">
        <v>1869</v>
      </c>
      <c r="AE36" s="204">
        <v>8724</v>
      </c>
      <c r="AF36" s="88">
        <v>-1421</v>
      </c>
      <c r="AG36" s="88">
        <v>-1899</v>
      </c>
      <c r="AH36" s="88">
        <f t="shared" si="7"/>
        <v>-576</v>
      </c>
      <c r="AI36" s="88">
        <v>2521</v>
      </c>
      <c r="AJ36" s="204">
        <v>-1375</v>
      </c>
      <c r="AK36" s="88">
        <v>-1470</v>
      </c>
      <c r="AL36" s="88">
        <v>-1078</v>
      </c>
      <c r="AM36" s="88">
        <v>5285</v>
      </c>
      <c r="AN36" s="88">
        <v>3705</v>
      </c>
      <c r="AO36" s="204">
        <v>6442</v>
      </c>
      <c r="AP36" s="88">
        <v>-6726</v>
      </c>
      <c r="AQ36" s="88">
        <v>8960</v>
      </c>
      <c r="AR36" s="88">
        <v>2260</v>
      </c>
      <c r="AS36" s="100">
        <v>5820</v>
      </c>
      <c r="AT36" s="88">
        <v>-1617</v>
      </c>
      <c r="AU36" s="100">
        <v>-320</v>
      </c>
      <c r="AV36" s="204">
        <v>2876</v>
      </c>
      <c r="AW36" s="309">
        <v>5500</v>
      </c>
      <c r="AX36" s="88">
        <v>-913</v>
      </c>
      <c r="AY36" s="88">
        <v>881</v>
      </c>
      <c r="AZ36" s="88">
        <v>2261</v>
      </c>
      <c r="BA36" s="100"/>
      <c r="BB36" s="100">
        <v>2229</v>
      </c>
      <c r="BC36" s="88">
        <v>-1867</v>
      </c>
      <c r="BD36" s="204">
        <v>362</v>
      </c>
      <c r="BE36" s="380"/>
      <c r="BF36" s="330"/>
      <c r="BG36" s="330"/>
      <c r="BH36" s="330"/>
      <c r="BI36" s="330"/>
      <c r="BL36" s="330"/>
      <c r="BM36" s="330"/>
      <c r="BN36" s="330"/>
      <c r="BO36" s="330"/>
      <c r="BP36" s="330"/>
      <c r="BQ36" s="330"/>
      <c r="BS36" s="330"/>
      <c r="BT36" s="330"/>
      <c r="BU36" s="330"/>
      <c r="BV36" s="330"/>
    </row>
    <row r="37" spans="1:74" s="108" customFormat="1" ht="12.75">
      <c r="A37" s="185" t="s">
        <v>205</v>
      </c>
      <c r="B37" s="96"/>
      <c r="C37" s="96"/>
      <c r="D37" s="96"/>
      <c r="E37" s="96"/>
      <c r="F37" s="205"/>
      <c r="G37" s="96"/>
      <c r="H37" s="96"/>
      <c r="I37" s="96"/>
      <c r="J37" s="96"/>
      <c r="K37" s="205"/>
      <c r="L37" s="96"/>
      <c r="M37" s="96"/>
      <c r="N37" s="96"/>
      <c r="O37" s="96"/>
      <c r="P37" s="205"/>
      <c r="Q37" s="96"/>
      <c r="R37" s="96"/>
      <c r="S37" s="96"/>
      <c r="T37" s="96"/>
      <c r="U37" s="205"/>
      <c r="V37" s="96"/>
      <c r="W37" s="96"/>
      <c r="X37" s="96"/>
      <c r="Y37" s="96"/>
      <c r="Z37" s="205"/>
      <c r="AA37" s="96">
        <f aca="true" t="shared" si="8" ref="AA37:AL37">SUM(AA31:AA36)</f>
        <v>65480</v>
      </c>
      <c r="AB37" s="96">
        <f t="shared" si="8"/>
        <v>102326</v>
      </c>
      <c r="AC37" s="96">
        <f t="shared" si="8"/>
        <v>94754</v>
      </c>
      <c r="AD37" s="96">
        <f t="shared" si="8"/>
        <v>49998</v>
      </c>
      <c r="AE37" s="205">
        <f t="shared" si="8"/>
        <v>312558</v>
      </c>
      <c r="AF37" s="96">
        <f t="shared" si="8"/>
        <v>61200</v>
      </c>
      <c r="AG37" s="96">
        <f t="shared" si="8"/>
        <v>91087</v>
      </c>
      <c r="AH37" s="96">
        <f t="shared" si="8"/>
        <v>77884</v>
      </c>
      <c r="AI37" s="96">
        <f t="shared" si="8"/>
        <v>69249</v>
      </c>
      <c r="AJ37" s="205">
        <f t="shared" si="8"/>
        <v>299420</v>
      </c>
      <c r="AK37" s="96">
        <f t="shared" si="8"/>
        <v>67301</v>
      </c>
      <c r="AL37" s="96">
        <f t="shared" si="8"/>
        <v>82693</v>
      </c>
      <c r="AM37" s="96">
        <v>42405</v>
      </c>
      <c r="AN37" s="96">
        <v>1972</v>
      </c>
      <c r="AO37" s="205">
        <v>194371</v>
      </c>
      <c r="AP37" s="96">
        <v>53409</v>
      </c>
      <c r="AQ37" s="96">
        <v>47718</v>
      </c>
      <c r="AR37" s="96">
        <v>36373</v>
      </c>
      <c r="AS37" s="294">
        <v>137500</v>
      </c>
      <c r="AT37" s="96">
        <v>26209</v>
      </c>
      <c r="AU37" s="294">
        <v>29616</v>
      </c>
      <c r="AV37" s="205">
        <v>163709</v>
      </c>
      <c r="AW37" s="310">
        <v>167116</v>
      </c>
      <c r="AX37" s="96">
        <v>50120</v>
      </c>
      <c r="AY37" s="96">
        <v>76120</v>
      </c>
      <c r="AZ37" s="96">
        <v>79587</v>
      </c>
      <c r="BA37" s="294"/>
      <c r="BB37" s="294">
        <v>205826.8</v>
      </c>
      <c r="BC37" s="96">
        <v>57535</v>
      </c>
      <c r="BD37" s="205">
        <v>263361.8</v>
      </c>
      <c r="BE37" s="385"/>
      <c r="BF37" s="331"/>
      <c r="BG37" s="331"/>
      <c r="BH37" s="331"/>
      <c r="BI37" s="331"/>
      <c r="BL37" s="331"/>
      <c r="BM37" s="331"/>
      <c r="BN37" s="331"/>
      <c r="BO37" s="331"/>
      <c r="BP37" s="331"/>
      <c r="BQ37" s="331"/>
      <c r="BS37" s="331"/>
      <c r="BT37" s="331"/>
      <c r="BU37" s="331"/>
      <c r="BV37" s="331"/>
    </row>
    <row r="38" spans="1:59" s="319" customFormat="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s="314"/>
      <c r="AT38"/>
      <c r="AU38" s="314"/>
      <c r="AV38"/>
      <c r="AW38" s="314"/>
      <c r="AX38"/>
      <c r="AY38"/>
      <c r="AZ38"/>
      <c r="BA38" s="314"/>
      <c r="BB38" s="314"/>
      <c r="BC38"/>
      <c r="BD38"/>
      <c r="BE38" s="395"/>
      <c r="BF38" s="427"/>
      <c r="BG38" s="427"/>
    </row>
    <row r="39" spans="1:59" s="319" customFormat="1"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s="314"/>
      <c r="AT39"/>
      <c r="AU39" s="314"/>
      <c r="AV39"/>
      <c r="AW39" s="314"/>
      <c r="AX39"/>
      <c r="AY39"/>
      <c r="AZ39"/>
      <c r="BA39" s="314"/>
      <c r="BB39" s="314"/>
      <c r="BC39"/>
      <c r="BD39"/>
      <c r="BE39" s="395"/>
      <c r="BF39" s="427"/>
      <c r="BG39" s="427"/>
    </row>
    <row r="40" spans="1:75" s="106" customFormat="1" ht="25.5">
      <c r="A40" s="180" t="s">
        <v>323</v>
      </c>
      <c r="B40" s="181" t="s">
        <v>2</v>
      </c>
      <c r="C40" s="181" t="s">
        <v>3</v>
      </c>
      <c r="D40" s="181" t="s">
        <v>4</v>
      </c>
      <c r="E40" s="181" t="s">
        <v>5</v>
      </c>
      <c r="F40" s="181" t="s">
        <v>6</v>
      </c>
      <c r="G40" s="181" t="s">
        <v>12</v>
      </c>
      <c r="H40" s="181" t="s">
        <v>13</v>
      </c>
      <c r="I40" s="181" t="s">
        <v>14</v>
      </c>
      <c r="J40" s="181" t="s">
        <v>15</v>
      </c>
      <c r="K40" s="181" t="s">
        <v>16</v>
      </c>
      <c r="L40" s="181" t="s">
        <v>17</v>
      </c>
      <c r="M40" s="181" t="s">
        <v>18</v>
      </c>
      <c r="N40" s="181" t="s">
        <v>19</v>
      </c>
      <c r="O40" s="181" t="s">
        <v>20</v>
      </c>
      <c r="P40" s="181" t="s">
        <v>21</v>
      </c>
      <c r="Q40" s="181" t="s">
        <v>22</v>
      </c>
      <c r="R40" s="181" t="s">
        <v>23</v>
      </c>
      <c r="S40" s="181" t="s">
        <v>24</v>
      </c>
      <c r="T40" s="181" t="s">
        <v>25</v>
      </c>
      <c r="U40" s="181" t="s">
        <v>26</v>
      </c>
      <c r="V40" s="181" t="s">
        <v>27</v>
      </c>
      <c r="W40" s="181" t="s">
        <v>28</v>
      </c>
      <c r="X40" s="181" t="s">
        <v>29</v>
      </c>
      <c r="Y40" s="181" t="s">
        <v>30</v>
      </c>
      <c r="Z40" s="181" t="s">
        <v>31</v>
      </c>
      <c r="AA40" s="181" t="s">
        <v>32</v>
      </c>
      <c r="AB40" s="181" t="s">
        <v>33</v>
      </c>
      <c r="AC40" s="181" t="s">
        <v>34</v>
      </c>
      <c r="AD40" s="181" t="s">
        <v>271</v>
      </c>
      <c r="AE40" s="181" t="s">
        <v>272</v>
      </c>
      <c r="AF40" s="181" t="s">
        <v>274</v>
      </c>
      <c r="AG40" s="181" t="s">
        <v>276</v>
      </c>
      <c r="AH40" s="181" t="s">
        <v>278</v>
      </c>
      <c r="AI40" s="188" t="s">
        <v>280</v>
      </c>
      <c r="AJ40" s="188" t="s">
        <v>281</v>
      </c>
      <c r="AK40" s="188" t="s">
        <v>289</v>
      </c>
      <c r="AL40" s="188" t="s">
        <v>290</v>
      </c>
      <c r="AM40" s="188" t="s">
        <v>291</v>
      </c>
      <c r="AN40" s="188" t="s">
        <v>292</v>
      </c>
      <c r="AO40" s="188" t="s">
        <v>293</v>
      </c>
      <c r="AP40" s="188" t="s">
        <v>329</v>
      </c>
      <c r="AQ40" s="188" t="s">
        <v>330</v>
      </c>
      <c r="AR40" s="188" t="s">
        <v>331</v>
      </c>
      <c r="AS40" s="317" t="s">
        <v>490</v>
      </c>
      <c r="AT40" s="188" t="s">
        <v>332</v>
      </c>
      <c r="AU40" s="317" t="s">
        <v>477</v>
      </c>
      <c r="AV40" s="188" t="s">
        <v>333</v>
      </c>
      <c r="AW40" s="306" t="s">
        <v>460</v>
      </c>
      <c r="AX40" s="188" t="s">
        <v>448</v>
      </c>
      <c r="AY40" s="188" t="s">
        <v>451</v>
      </c>
      <c r="AZ40" s="188" t="s">
        <v>453</v>
      </c>
      <c r="BA40" s="306"/>
      <c r="BB40" s="317" t="s">
        <v>491</v>
      </c>
      <c r="BC40" s="188" t="s">
        <v>454</v>
      </c>
      <c r="BD40" s="188" t="s">
        <v>457</v>
      </c>
      <c r="BE40" s="387"/>
      <c r="BF40" s="226"/>
      <c r="BG40" s="226"/>
      <c r="BH40" s="226"/>
      <c r="BI40" s="226"/>
      <c r="BJ40" s="226"/>
      <c r="BK40" s="226"/>
      <c r="BL40" s="226"/>
      <c r="BM40" s="226"/>
      <c r="BN40" s="226"/>
      <c r="BO40" s="226"/>
      <c r="BP40" s="226"/>
      <c r="BQ40" s="226"/>
      <c r="BR40" s="226"/>
      <c r="BS40" s="226"/>
      <c r="BT40" s="226"/>
      <c r="BU40" s="226"/>
      <c r="BV40" s="226"/>
      <c r="BW40" s="226"/>
    </row>
    <row r="41" spans="1:75" s="106" customFormat="1" ht="12.75">
      <c r="A41" s="125" t="s">
        <v>344</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7"/>
      <c r="AJ41" s="127"/>
      <c r="AK41" s="127"/>
      <c r="AL41" s="127"/>
      <c r="AM41" s="127"/>
      <c r="AN41" s="127"/>
      <c r="AO41" s="127"/>
      <c r="AP41" s="127"/>
      <c r="AQ41" s="127"/>
      <c r="AR41" s="127"/>
      <c r="AS41" s="303"/>
      <c r="AT41" s="127"/>
      <c r="AU41" s="303"/>
      <c r="AV41" s="127"/>
      <c r="AW41" s="303"/>
      <c r="AX41" s="127"/>
      <c r="AY41" s="127"/>
      <c r="AZ41" s="127"/>
      <c r="BA41" s="303"/>
      <c r="BB41" s="303"/>
      <c r="BC41" s="127"/>
      <c r="BD41" s="127"/>
      <c r="BE41" s="388"/>
      <c r="BF41" s="329"/>
      <c r="BG41" s="329"/>
      <c r="BH41" s="329"/>
      <c r="BI41" s="329"/>
      <c r="BJ41" s="329"/>
      <c r="BK41" s="329"/>
      <c r="BL41" s="329"/>
      <c r="BM41" s="329"/>
      <c r="BN41" s="329"/>
      <c r="BO41" s="329"/>
      <c r="BP41" s="329"/>
      <c r="BQ41" s="329"/>
      <c r="BR41" s="329"/>
      <c r="BS41" s="329"/>
      <c r="BT41" s="329"/>
      <c r="BU41" s="329"/>
      <c r="BV41" s="329"/>
      <c r="BW41" s="329"/>
    </row>
    <row r="42" spans="1:74" s="106" customFormat="1" ht="12.75">
      <c r="A42" s="183" t="s">
        <v>192</v>
      </c>
      <c r="B42" s="88"/>
      <c r="C42" s="88"/>
      <c r="D42" s="88"/>
      <c r="E42" s="88"/>
      <c r="F42" s="204"/>
      <c r="G42" s="88"/>
      <c r="H42" s="88"/>
      <c r="I42" s="88"/>
      <c r="J42" s="88"/>
      <c r="K42" s="204"/>
      <c r="L42" s="88"/>
      <c r="M42" s="88"/>
      <c r="N42" s="88"/>
      <c r="O42" s="88"/>
      <c r="P42" s="204"/>
      <c r="Q42" s="88"/>
      <c r="R42" s="88"/>
      <c r="S42" s="88"/>
      <c r="T42" s="88"/>
      <c r="U42" s="204"/>
      <c r="V42" s="88"/>
      <c r="W42" s="88"/>
      <c r="X42" s="88"/>
      <c r="Y42" s="88"/>
      <c r="Z42" s="204"/>
      <c r="AA42" s="88">
        <f aca="true" t="shared" si="9" ref="AA42:AA47">AE42-AD42-AC42-AB42</f>
        <v>44019</v>
      </c>
      <c r="AB42" s="88">
        <v>41681</v>
      </c>
      <c r="AC42" s="88">
        <v>42583</v>
      </c>
      <c r="AD42" s="88">
        <f>27488+783</f>
        <v>28271</v>
      </c>
      <c r="AE42" s="204">
        <v>156554</v>
      </c>
      <c r="AF42" s="88">
        <v>26865</v>
      </c>
      <c r="AG42" s="88">
        <v>30151</v>
      </c>
      <c r="AH42" s="88">
        <f aca="true" t="shared" si="10" ref="AH42:AH47">AJ42-AI42-AG42-AF42</f>
        <v>34143</v>
      </c>
      <c r="AI42" s="88">
        <v>28109</v>
      </c>
      <c r="AJ42" s="204">
        <v>119268</v>
      </c>
      <c r="AK42" s="88">
        <v>31056</v>
      </c>
      <c r="AL42" s="88">
        <v>37160</v>
      </c>
      <c r="AM42" s="88">
        <v>43415</v>
      </c>
      <c r="AN42" s="88">
        <v>50960</v>
      </c>
      <c r="AO42" s="204">
        <v>162591</v>
      </c>
      <c r="AP42" s="88">
        <v>56337</v>
      </c>
      <c r="AQ42" s="88">
        <v>28095</v>
      </c>
      <c r="AR42" s="88">
        <v>27889</v>
      </c>
      <c r="AS42" s="100">
        <v>112428</v>
      </c>
      <c r="AT42" s="88">
        <v>31503</v>
      </c>
      <c r="AU42" s="100">
        <v>31453</v>
      </c>
      <c r="AV42" s="204">
        <v>143824</v>
      </c>
      <c r="AW42" s="309">
        <v>143881</v>
      </c>
      <c r="AX42" s="88">
        <v>34784</v>
      </c>
      <c r="AY42" s="88">
        <v>39751</v>
      </c>
      <c r="AZ42" s="88">
        <v>43231</v>
      </c>
      <c r="BA42" s="100"/>
      <c r="BB42" s="100">
        <v>117765.8</v>
      </c>
      <c r="BC42" s="88">
        <v>46747</v>
      </c>
      <c r="BD42" s="204">
        <v>164512.8</v>
      </c>
      <c r="BE42" s="380"/>
      <c r="BF42" s="330"/>
      <c r="BG42" s="330"/>
      <c r="BH42" s="330"/>
      <c r="BI42" s="330"/>
      <c r="BL42" s="330"/>
      <c r="BM42" s="330"/>
      <c r="BN42" s="330"/>
      <c r="BO42" s="330"/>
      <c r="BP42" s="330"/>
      <c r="BQ42" s="330"/>
      <c r="BS42" s="330"/>
      <c r="BT42" s="330"/>
      <c r="BU42" s="330"/>
      <c r="BV42" s="330"/>
    </row>
    <row r="43" spans="1:74" s="106" customFormat="1" ht="12.75">
      <c r="A43" s="183" t="s">
        <v>193</v>
      </c>
      <c r="B43" s="88"/>
      <c r="C43" s="88"/>
      <c r="D43" s="88"/>
      <c r="E43" s="88"/>
      <c r="F43" s="204"/>
      <c r="G43" s="88"/>
      <c r="H43" s="88"/>
      <c r="I43" s="88"/>
      <c r="J43" s="88"/>
      <c r="K43" s="204"/>
      <c r="L43" s="88"/>
      <c r="M43" s="88"/>
      <c r="N43" s="88"/>
      <c r="O43" s="88"/>
      <c r="P43" s="204"/>
      <c r="Q43" s="88"/>
      <c r="R43" s="88"/>
      <c r="S43" s="88"/>
      <c r="T43" s="88"/>
      <c r="U43" s="204"/>
      <c r="V43" s="88"/>
      <c r="W43" s="88"/>
      <c r="X43" s="88"/>
      <c r="Y43" s="88"/>
      <c r="Z43" s="204"/>
      <c r="AA43" s="88">
        <f t="shared" si="9"/>
        <v>35213</v>
      </c>
      <c r="AB43" s="88">
        <v>84487</v>
      </c>
      <c r="AC43" s="88">
        <v>74565</v>
      </c>
      <c r="AD43" s="88">
        <f>34518+2441</f>
        <v>36959</v>
      </c>
      <c r="AE43" s="204">
        <v>231224</v>
      </c>
      <c r="AF43" s="88">
        <v>43911</v>
      </c>
      <c r="AG43" s="88">
        <v>74577</v>
      </c>
      <c r="AH43" s="88">
        <f t="shared" si="10"/>
        <v>63004</v>
      </c>
      <c r="AI43" s="88">
        <v>53652</v>
      </c>
      <c r="AJ43" s="204">
        <v>235144</v>
      </c>
      <c r="AK43" s="88">
        <v>57846</v>
      </c>
      <c r="AL43" s="88">
        <v>86259</v>
      </c>
      <c r="AM43" s="88">
        <v>22885</v>
      </c>
      <c r="AN43" s="88">
        <v>-24411</v>
      </c>
      <c r="AO43" s="204">
        <v>142579</v>
      </c>
      <c r="AP43" s="88">
        <v>24551</v>
      </c>
      <c r="AQ43" s="88">
        <v>63198</v>
      </c>
      <c r="AR43" s="88">
        <v>25113</v>
      </c>
      <c r="AS43" s="100">
        <v>113076</v>
      </c>
      <c r="AT43" s="88">
        <v>18710</v>
      </c>
      <c r="AU43" s="100">
        <v>17873</v>
      </c>
      <c r="AV43" s="204">
        <v>131572</v>
      </c>
      <c r="AW43" s="309">
        <v>130949</v>
      </c>
      <c r="AX43" s="88">
        <v>29480</v>
      </c>
      <c r="AY43" s="88">
        <v>42312</v>
      </c>
      <c r="AZ43" s="88">
        <v>63259</v>
      </c>
      <c r="BA43" s="100"/>
      <c r="BB43" s="100">
        <v>135051</v>
      </c>
      <c r="BC43" s="88">
        <v>38507</v>
      </c>
      <c r="BD43" s="204">
        <v>173558</v>
      </c>
      <c r="BE43" s="380"/>
      <c r="BF43" s="330"/>
      <c r="BG43" s="330"/>
      <c r="BH43" s="330"/>
      <c r="BI43" s="330"/>
      <c r="BL43" s="330"/>
      <c r="BM43" s="330"/>
      <c r="BN43" s="330"/>
      <c r="BO43" s="330"/>
      <c r="BP43" s="330"/>
      <c r="BQ43" s="330"/>
      <c r="BS43" s="330"/>
      <c r="BT43" s="330"/>
      <c r="BU43" s="330"/>
      <c r="BV43" s="330"/>
    </row>
    <row r="44" spans="1:74" s="106" customFormat="1" ht="12.75">
      <c r="A44" s="183" t="s">
        <v>433</v>
      </c>
      <c r="B44" s="88"/>
      <c r="C44" s="88"/>
      <c r="D44" s="88"/>
      <c r="E44" s="88"/>
      <c r="F44" s="204"/>
      <c r="G44" s="88"/>
      <c r="H44" s="88"/>
      <c r="I44" s="88"/>
      <c r="J44" s="88"/>
      <c r="K44" s="204"/>
      <c r="L44" s="88"/>
      <c r="M44" s="88"/>
      <c r="N44" s="88"/>
      <c r="O44" s="88"/>
      <c r="P44" s="204"/>
      <c r="Q44" s="88"/>
      <c r="R44" s="88"/>
      <c r="S44" s="88"/>
      <c r="T44" s="88"/>
      <c r="U44" s="204"/>
      <c r="V44" s="88"/>
      <c r="W44" s="88"/>
      <c r="X44" s="88"/>
      <c r="Y44" s="88"/>
      <c r="Z44" s="204"/>
      <c r="AA44" s="88">
        <f t="shared" si="9"/>
        <v>13298</v>
      </c>
      <c r="AB44" s="88">
        <v>11023</v>
      </c>
      <c r="AC44" s="88">
        <v>7101</v>
      </c>
      <c r="AD44" s="88">
        <f>11194+302</f>
        <v>11496</v>
      </c>
      <c r="AE44" s="204">
        <v>42918</v>
      </c>
      <c r="AF44" s="88">
        <v>14467</v>
      </c>
      <c r="AG44" s="88">
        <v>10069</v>
      </c>
      <c r="AH44" s="88">
        <f t="shared" si="10"/>
        <v>10104</v>
      </c>
      <c r="AI44" s="88">
        <v>11545</v>
      </c>
      <c r="AJ44" s="204">
        <v>46185</v>
      </c>
      <c r="AK44" s="88">
        <v>13370</v>
      </c>
      <c r="AL44" s="88">
        <v>11706</v>
      </c>
      <c r="AM44" s="88">
        <v>10921</v>
      </c>
      <c r="AN44" s="88">
        <v>14467</v>
      </c>
      <c r="AO44" s="204">
        <v>50464</v>
      </c>
      <c r="AP44" s="88">
        <v>21116</v>
      </c>
      <c r="AQ44" s="88">
        <v>14575</v>
      </c>
      <c r="AR44" s="88">
        <v>19928</v>
      </c>
      <c r="AS44" s="100">
        <v>55627</v>
      </c>
      <c r="AT44" s="88">
        <v>22380</v>
      </c>
      <c r="AU44" s="100">
        <v>21966</v>
      </c>
      <c r="AV44" s="204">
        <v>77999</v>
      </c>
      <c r="AW44" s="309">
        <v>77593</v>
      </c>
      <c r="AX44" s="88">
        <v>30223</v>
      </c>
      <c r="AY44" s="88">
        <v>26077</v>
      </c>
      <c r="AZ44" s="88">
        <v>13598</v>
      </c>
      <c r="BA44" s="100"/>
      <c r="BB44" s="100">
        <v>69898</v>
      </c>
      <c r="BC44" s="88">
        <v>17659</v>
      </c>
      <c r="BD44" s="204">
        <v>87557</v>
      </c>
      <c r="BE44" s="380"/>
      <c r="BF44" s="330"/>
      <c r="BG44" s="330"/>
      <c r="BH44" s="330"/>
      <c r="BI44" s="330"/>
      <c r="BL44" s="330"/>
      <c r="BM44" s="330"/>
      <c r="BN44" s="330"/>
      <c r="BO44" s="330"/>
      <c r="BP44" s="330"/>
      <c r="BQ44" s="330"/>
      <c r="BS44" s="330"/>
      <c r="BT44" s="330"/>
      <c r="BU44" s="330"/>
      <c r="BV44" s="330"/>
    </row>
    <row r="45" spans="1:74" s="106" customFormat="1" ht="12.75">
      <c r="A45" s="183" t="s">
        <v>62</v>
      </c>
      <c r="B45" s="88"/>
      <c r="C45" s="88"/>
      <c r="D45" s="88"/>
      <c r="E45" s="88"/>
      <c r="F45" s="204"/>
      <c r="G45" s="88"/>
      <c r="H45" s="88"/>
      <c r="I45" s="88"/>
      <c r="J45" s="88"/>
      <c r="K45" s="204"/>
      <c r="L45" s="88"/>
      <c r="M45" s="88"/>
      <c r="N45" s="88"/>
      <c r="O45" s="88"/>
      <c r="P45" s="204"/>
      <c r="Q45" s="88"/>
      <c r="R45" s="88"/>
      <c r="S45" s="88"/>
      <c r="T45" s="88"/>
      <c r="U45" s="204"/>
      <c r="V45" s="88"/>
      <c r="W45" s="88"/>
      <c r="X45" s="88"/>
      <c r="Y45" s="88"/>
      <c r="Z45" s="204"/>
      <c r="AA45" s="88">
        <f t="shared" si="9"/>
        <v>8059</v>
      </c>
      <c r="AB45" s="88">
        <v>8446</v>
      </c>
      <c r="AC45" s="88">
        <v>10068</v>
      </c>
      <c r="AD45" s="88">
        <f>15198+1</f>
        <v>15199</v>
      </c>
      <c r="AE45" s="204">
        <v>41772</v>
      </c>
      <c r="AF45" s="88">
        <v>17225</v>
      </c>
      <c r="AG45" s="88">
        <v>17090</v>
      </c>
      <c r="AH45" s="88">
        <f t="shared" si="10"/>
        <v>16695</v>
      </c>
      <c r="AI45" s="88">
        <v>9284</v>
      </c>
      <c r="AJ45" s="204">
        <v>60294</v>
      </c>
      <c r="AK45" s="88">
        <v>7414</v>
      </c>
      <c r="AL45" s="88">
        <v>-8214</v>
      </c>
      <c r="AM45" s="88">
        <v>4347</v>
      </c>
      <c r="AN45" s="88">
        <v>8585</v>
      </c>
      <c r="AO45" s="204">
        <v>12132</v>
      </c>
      <c r="AP45" s="88">
        <v>1016</v>
      </c>
      <c r="AQ45" s="88">
        <v>-4638</v>
      </c>
      <c r="AR45" s="88">
        <v>6117</v>
      </c>
      <c r="AS45" s="100">
        <v>2506</v>
      </c>
      <c r="AT45" s="88">
        <v>547</v>
      </c>
      <c r="AU45" s="100">
        <v>583</v>
      </c>
      <c r="AV45" s="204">
        <v>3042</v>
      </c>
      <c r="AW45" s="309">
        <v>3089</v>
      </c>
      <c r="AX45" s="88">
        <v>2079</v>
      </c>
      <c r="AY45" s="88">
        <v>5997</v>
      </c>
      <c r="AZ45" s="88">
        <v>10614</v>
      </c>
      <c r="BA45" s="100"/>
      <c r="BB45" s="100">
        <v>18690</v>
      </c>
      <c r="BC45" s="88">
        <v>699</v>
      </c>
      <c r="BD45" s="204">
        <v>19389</v>
      </c>
      <c r="BE45" s="380"/>
      <c r="BF45" s="330"/>
      <c r="BG45" s="330"/>
      <c r="BH45" s="330"/>
      <c r="BI45" s="330"/>
      <c r="BL45" s="330"/>
      <c r="BM45" s="330"/>
      <c r="BN45" s="330"/>
      <c r="BO45" s="330"/>
      <c r="BP45" s="330"/>
      <c r="BQ45" s="330"/>
      <c r="BS45" s="330"/>
      <c r="BT45" s="330"/>
      <c r="BU45" s="330"/>
      <c r="BV45" s="330"/>
    </row>
    <row r="46" spans="1:74" s="106" customFormat="1" ht="12.75">
      <c r="A46" s="183" t="s">
        <v>195</v>
      </c>
      <c r="B46" s="88"/>
      <c r="C46" s="88"/>
      <c r="D46" s="88"/>
      <c r="E46" s="88"/>
      <c r="F46" s="204"/>
      <c r="G46" s="88"/>
      <c r="H46" s="88"/>
      <c r="I46" s="88"/>
      <c r="J46" s="88"/>
      <c r="K46" s="204"/>
      <c r="L46" s="88"/>
      <c r="M46" s="88"/>
      <c r="N46" s="88"/>
      <c r="O46" s="88"/>
      <c r="P46" s="204"/>
      <c r="Q46" s="88"/>
      <c r="R46" s="88"/>
      <c r="S46" s="88"/>
      <c r="T46" s="88"/>
      <c r="U46" s="204"/>
      <c r="V46" s="88"/>
      <c r="W46" s="88"/>
      <c r="X46" s="88"/>
      <c r="Y46" s="88"/>
      <c r="Z46" s="204"/>
      <c r="AA46" s="88">
        <f t="shared" si="9"/>
        <v>-9028</v>
      </c>
      <c r="AB46" s="88">
        <v>-11805</v>
      </c>
      <c r="AC46" s="88">
        <v>-7415</v>
      </c>
      <c r="AD46" s="88">
        <f>-7353-206</f>
        <v>-7559</v>
      </c>
      <c r="AE46" s="204">
        <v>-35807</v>
      </c>
      <c r="AF46" s="88">
        <v>-5769</v>
      </c>
      <c r="AG46" s="88">
        <v>-6865</v>
      </c>
      <c r="AH46" s="88">
        <f t="shared" si="10"/>
        <v>-6670</v>
      </c>
      <c r="AI46" s="88">
        <v>-254</v>
      </c>
      <c r="AJ46" s="204">
        <v>-19558</v>
      </c>
      <c r="AK46" s="88">
        <v>-6592</v>
      </c>
      <c r="AL46" s="88">
        <v>-8988</v>
      </c>
      <c r="AM46" s="88">
        <v>-5935</v>
      </c>
      <c r="AN46" s="88">
        <v>-6394</v>
      </c>
      <c r="AO46" s="204">
        <v>-27909</v>
      </c>
      <c r="AP46" s="88">
        <v>-2662</v>
      </c>
      <c r="AQ46" s="88">
        <v>-17291</v>
      </c>
      <c r="AR46" s="88">
        <v>-5469</v>
      </c>
      <c r="AS46" s="100">
        <v>-25355</v>
      </c>
      <c r="AT46" s="88">
        <v>-8815</v>
      </c>
      <c r="AU46" s="100">
        <v>-3657</v>
      </c>
      <c r="AV46" s="204">
        <v>-34237</v>
      </c>
      <c r="AW46" s="309">
        <v>-29012</v>
      </c>
      <c r="AX46" s="88">
        <v>-2008</v>
      </c>
      <c r="AY46" s="88">
        <v>4678</v>
      </c>
      <c r="AZ46" s="88">
        <v>-11854</v>
      </c>
      <c r="BA46" s="100"/>
      <c r="BB46" s="100">
        <v>-9184</v>
      </c>
      <c r="BC46" s="88">
        <v>-3646</v>
      </c>
      <c r="BD46" s="204">
        <v>-12830</v>
      </c>
      <c r="BE46" s="380"/>
      <c r="BF46" s="330"/>
      <c r="BG46" s="330"/>
      <c r="BH46" s="330"/>
      <c r="BI46" s="330"/>
      <c r="BL46" s="330"/>
      <c r="BM46" s="330"/>
      <c r="BN46" s="330"/>
      <c r="BO46" s="330"/>
      <c r="BP46" s="330"/>
      <c r="BQ46" s="330"/>
      <c r="BS46" s="330"/>
      <c r="BT46" s="330"/>
      <c r="BU46" s="330"/>
      <c r="BV46" s="330"/>
    </row>
    <row r="47" spans="1:74" s="106" customFormat="1" ht="14.25">
      <c r="A47" s="183" t="s">
        <v>319</v>
      </c>
      <c r="B47" s="88"/>
      <c r="C47" s="88"/>
      <c r="D47" s="88"/>
      <c r="E47" s="88"/>
      <c r="F47" s="204"/>
      <c r="G47" s="88"/>
      <c r="H47" s="88"/>
      <c r="I47" s="88"/>
      <c r="J47" s="88"/>
      <c r="K47" s="204"/>
      <c r="L47" s="88"/>
      <c r="M47" s="88"/>
      <c r="N47" s="88"/>
      <c r="O47" s="88"/>
      <c r="P47" s="204"/>
      <c r="Q47" s="88"/>
      <c r="R47" s="88"/>
      <c r="S47" s="88"/>
      <c r="T47" s="88"/>
      <c r="U47" s="204"/>
      <c r="V47" s="88"/>
      <c r="W47" s="88"/>
      <c r="X47" s="88"/>
      <c r="Y47" s="88"/>
      <c r="Z47" s="204"/>
      <c r="AA47" s="88">
        <f t="shared" si="9"/>
        <v>5538</v>
      </c>
      <c r="AB47" s="88">
        <v>1096</v>
      </c>
      <c r="AC47" s="88">
        <v>221</v>
      </c>
      <c r="AD47" s="88">
        <v>1869</v>
      </c>
      <c r="AE47" s="204">
        <v>8724</v>
      </c>
      <c r="AF47" s="88">
        <v>-1421</v>
      </c>
      <c r="AG47" s="88">
        <v>-1899</v>
      </c>
      <c r="AH47" s="88">
        <f t="shared" si="10"/>
        <v>-576</v>
      </c>
      <c r="AI47" s="88">
        <v>2521</v>
      </c>
      <c r="AJ47" s="204">
        <v>-1375</v>
      </c>
      <c r="AK47" s="88">
        <v>-1470</v>
      </c>
      <c r="AL47" s="88">
        <v>-1078</v>
      </c>
      <c r="AM47" s="88">
        <v>5285</v>
      </c>
      <c r="AN47" s="88">
        <v>3705</v>
      </c>
      <c r="AO47" s="204">
        <v>6442</v>
      </c>
      <c r="AP47" s="88">
        <v>-6726</v>
      </c>
      <c r="AQ47" s="88">
        <v>8960</v>
      </c>
      <c r="AR47" s="88">
        <v>2260</v>
      </c>
      <c r="AS47" s="100">
        <v>4086</v>
      </c>
      <c r="AT47" s="88">
        <v>-1617</v>
      </c>
      <c r="AU47" s="100">
        <v>-1703</v>
      </c>
      <c r="AV47" s="204">
        <v>2876</v>
      </c>
      <c r="AW47" s="309">
        <v>2383</v>
      </c>
      <c r="AX47" s="88">
        <v>-1737</v>
      </c>
      <c r="AY47" s="88">
        <v>-461</v>
      </c>
      <c r="AZ47" s="88">
        <v>1639</v>
      </c>
      <c r="BA47" s="100"/>
      <c r="BB47" s="100">
        <v>-559</v>
      </c>
      <c r="BC47" s="88">
        <v>-2529</v>
      </c>
      <c r="BD47" s="204">
        <v>-3088</v>
      </c>
      <c r="BE47" s="380"/>
      <c r="BF47" s="330"/>
      <c r="BG47" s="330"/>
      <c r="BH47" s="330"/>
      <c r="BI47" s="330"/>
      <c r="BL47" s="330"/>
      <c r="BM47" s="330"/>
      <c r="BN47" s="330"/>
      <c r="BO47" s="330"/>
      <c r="BP47" s="330"/>
      <c r="BQ47" s="330"/>
      <c r="BS47" s="330"/>
      <c r="BT47" s="330"/>
      <c r="BU47" s="330"/>
      <c r="BV47" s="330"/>
    </row>
    <row r="48" spans="1:74" s="108" customFormat="1" ht="12.75">
      <c r="A48" s="185" t="s">
        <v>205</v>
      </c>
      <c r="B48" s="96"/>
      <c r="C48" s="96"/>
      <c r="D48" s="96"/>
      <c r="E48" s="96"/>
      <c r="F48" s="205"/>
      <c r="G48" s="96"/>
      <c r="H48" s="96"/>
      <c r="I48" s="96"/>
      <c r="J48" s="96"/>
      <c r="K48" s="205"/>
      <c r="L48" s="96"/>
      <c r="M48" s="96"/>
      <c r="N48" s="96"/>
      <c r="O48" s="96"/>
      <c r="P48" s="205"/>
      <c r="Q48" s="96"/>
      <c r="R48" s="96"/>
      <c r="S48" s="96"/>
      <c r="T48" s="96"/>
      <c r="U48" s="205"/>
      <c r="V48" s="96"/>
      <c r="W48" s="96"/>
      <c r="X48" s="96"/>
      <c r="Y48" s="96"/>
      <c r="Z48" s="205"/>
      <c r="AA48" s="96">
        <f aca="true" t="shared" si="11" ref="AA48:AL48">SUM(AA42:AA47)</f>
        <v>97099</v>
      </c>
      <c r="AB48" s="96">
        <f t="shared" si="11"/>
        <v>134928</v>
      </c>
      <c r="AC48" s="96">
        <f t="shared" si="11"/>
        <v>127123</v>
      </c>
      <c r="AD48" s="96">
        <f t="shared" si="11"/>
        <v>86235</v>
      </c>
      <c r="AE48" s="205">
        <f t="shared" si="11"/>
        <v>445385</v>
      </c>
      <c r="AF48" s="96">
        <f t="shared" si="11"/>
        <v>95278</v>
      </c>
      <c r="AG48" s="96">
        <f t="shared" si="11"/>
        <v>123123</v>
      </c>
      <c r="AH48" s="96">
        <f t="shared" si="11"/>
        <v>116700</v>
      </c>
      <c r="AI48" s="96">
        <f t="shared" si="11"/>
        <v>104857</v>
      </c>
      <c r="AJ48" s="205">
        <f t="shared" si="11"/>
        <v>439958</v>
      </c>
      <c r="AK48" s="96">
        <f t="shared" si="11"/>
        <v>101624</v>
      </c>
      <c r="AL48" s="96">
        <f t="shared" si="11"/>
        <v>116845</v>
      </c>
      <c r="AM48" s="96">
        <v>80918</v>
      </c>
      <c r="AN48" s="96">
        <v>46912</v>
      </c>
      <c r="AO48" s="205">
        <v>346299</v>
      </c>
      <c r="AP48" s="96">
        <v>93632</v>
      </c>
      <c r="AQ48" s="96">
        <v>92898</v>
      </c>
      <c r="AR48" s="96">
        <v>75838</v>
      </c>
      <c r="AS48" s="294">
        <v>262368</v>
      </c>
      <c r="AT48" s="96">
        <v>62708</v>
      </c>
      <c r="AU48" s="294">
        <v>66515</v>
      </c>
      <c r="AV48" s="205">
        <v>325076</v>
      </c>
      <c r="AW48" s="310">
        <v>328883</v>
      </c>
      <c r="AX48" s="96">
        <v>92821</v>
      </c>
      <c r="AY48" s="96">
        <v>118354</v>
      </c>
      <c r="AZ48" s="96">
        <v>120487</v>
      </c>
      <c r="BA48" s="294"/>
      <c r="BB48" s="294">
        <v>331661.8</v>
      </c>
      <c r="BC48" s="96">
        <v>97437</v>
      </c>
      <c r="BD48" s="205">
        <v>429098.8</v>
      </c>
      <c r="BE48" s="385"/>
      <c r="BF48" s="331"/>
      <c r="BG48" s="331"/>
      <c r="BH48" s="331"/>
      <c r="BI48" s="331"/>
      <c r="BL48" s="331"/>
      <c r="BM48" s="331"/>
      <c r="BN48" s="331"/>
      <c r="BO48" s="331"/>
      <c r="BP48" s="331"/>
      <c r="BQ48" s="331"/>
      <c r="BS48" s="331"/>
      <c r="BT48" s="331"/>
      <c r="BU48" s="331"/>
      <c r="BV48" s="331"/>
    </row>
    <row r="49" ht="12.75">
      <c r="Z49" s="206"/>
    </row>
    <row r="50" ht="12.75">
      <c r="A50" s="3" t="s">
        <v>478</v>
      </c>
    </row>
    <row r="51" ht="12.75"/>
    <row r="52" ht="12.75"/>
    <row r="53" ht="12.75"/>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BW49"/>
  <sheetViews>
    <sheetView showGridLines="0" zoomScalePageLayoutView="0" workbookViewId="0" topLeftCell="A1">
      <pane xSplit="1" ySplit="1" topLeftCell="BL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zeroHeight="1"/>
  <cols>
    <col min="1" max="1" width="47.57421875" style="0" customWidth="1"/>
    <col min="45" max="45" width="9.140625" style="314" customWidth="1"/>
    <col min="47" max="47" width="9.140625" style="314" customWidth="1"/>
    <col min="49" max="49" width="9.140625" style="314" customWidth="1"/>
    <col min="53" max="54" width="9.140625" style="314" customWidth="1"/>
    <col min="57" max="57" width="10.00390625" style="394" customWidth="1"/>
    <col min="58" max="59" width="10.00390625" style="462" customWidth="1"/>
    <col min="60" max="60" width="10.00390625" style="0" customWidth="1"/>
    <col min="61" max="61" width="11.8515625" style="0" customWidth="1"/>
    <col min="62" max="62" width="9.8515625" style="0" customWidth="1"/>
    <col min="63" max="63" width="12.28125" style="0" customWidth="1"/>
    <col min="64" max="64" width="11.57421875" style="0" customWidth="1"/>
    <col min="68" max="70" width="11.28125" style="0" customWidth="1"/>
  </cols>
  <sheetData>
    <row r="1" spans="1:75" s="91" customFormat="1" ht="38.25">
      <c r="A1" s="89" t="s">
        <v>525</v>
      </c>
      <c r="B1" s="90" t="s">
        <v>2</v>
      </c>
      <c r="C1" s="90" t="s">
        <v>3</v>
      </c>
      <c r="D1" s="90" t="s">
        <v>4</v>
      </c>
      <c r="E1" s="90" t="s">
        <v>5</v>
      </c>
      <c r="F1" s="90" t="s">
        <v>6</v>
      </c>
      <c r="G1" s="90" t="s">
        <v>12</v>
      </c>
      <c r="H1" s="90" t="s">
        <v>13</v>
      </c>
      <c r="I1" s="90" t="s">
        <v>14</v>
      </c>
      <c r="J1" s="90" t="s">
        <v>15</v>
      </c>
      <c r="K1" s="90" t="s">
        <v>16</v>
      </c>
      <c r="L1" s="90" t="s">
        <v>17</v>
      </c>
      <c r="M1" s="90" t="s">
        <v>18</v>
      </c>
      <c r="N1" s="90" t="s">
        <v>19</v>
      </c>
      <c r="O1" s="90" t="s">
        <v>20</v>
      </c>
      <c r="P1" s="90" t="s">
        <v>21</v>
      </c>
      <c r="Q1" s="90" t="s">
        <v>22</v>
      </c>
      <c r="R1" s="90" t="s">
        <v>23</v>
      </c>
      <c r="S1" s="90" t="s">
        <v>24</v>
      </c>
      <c r="T1" s="90" t="s">
        <v>25</v>
      </c>
      <c r="U1" s="90" t="s">
        <v>26</v>
      </c>
      <c r="V1" s="90" t="s">
        <v>27</v>
      </c>
      <c r="W1" s="90" t="s">
        <v>28</v>
      </c>
      <c r="X1" s="90" t="s">
        <v>29</v>
      </c>
      <c r="Y1" s="90" t="s">
        <v>30</v>
      </c>
      <c r="Z1" s="90" t="s">
        <v>31</v>
      </c>
      <c r="AA1" s="90" t="s">
        <v>32</v>
      </c>
      <c r="AB1" s="90" t="s">
        <v>33</v>
      </c>
      <c r="AC1" s="90" t="s">
        <v>34</v>
      </c>
      <c r="AD1" s="90" t="s">
        <v>271</v>
      </c>
      <c r="AE1" s="90" t="s">
        <v>272</v>
      </c>
      <c r="AF1" s="90" t="s">
        <v>274</v>
      </c>
      <c r="AG1" s="90" t="s">
        <v>276</v>
      </c>
      <c r="AH1" s="90" t="s">
        <v>278</v>
      </c>
      <c r="AI1" s="120" t="s">
        <v>280</v>
      </c>
      <c r="AJ1" s="120" t="s">
        <v>281</v>
      </c>
      <c r="AK1" s="120" t="s">
        <v>289</v>
      </c>
      <c r="AL1" s="120" t="s">
        <v>290</v>
      </c>
      <c r="AM1" s="120" t="s">
        <v>291</v>
      </c>
      <c r="AN1" s="120" t="s">
        <v>292</v>
      </c>
      <c r="AO1" s="120" t="s">
        <v>293</v>
      </c>
      <c r="AP1" s="120" t="s">
        <v>329</v>
      </c>
      <c r="AQ1" s="120" t="s">
        <v>330</v>
      </c>
      <c r="AR1" s="120" t="s">
        <v>331</v>
      </c>
      <c r="AS1" s="311" t="s">
        <v>490</v>
      </c>
      <c r="AT1" s="120" t="s">
        <v>332</v>
      </c>
      <c r="AU1" s="289" t="s">
        <v>477</v>
      </c>
      <c r="AV1" s="120" t="s">
        <v>333</v>
      </c>
      <c r="AW1" s="311" t="s">
        <v>460</v>
      </c>
      <c r="AX1" s="120" t="s">
        <v>448</v>
      </c>
      <c r="AY1" s="120" t="s">
        <v>451</v>
      </c>
      <c r="AZ1" s="120" t="s">
        <v>453</v>
      </c>
      <c r="BA1" s="311" t="s">
        <v>466</v>
      </c>
      <c r="BB1" s="289" t="s">
        <v>491</v>
      </c>
      <c r="BC1" s="120" t="s">
        <v>454</v>
      </c>
      <c r="BD1" s="120" t="s">
        <v>457</v>
      </c>
      <c r="BE1" s="342" t="s">
        <v>492</v>
      </c>
      <c r="BF1" s="7" t="s">
        <v>553</v>
      </c>
      <c r="BG1" s="7" t="s">
        <v>560</v>
      </c>
      <c r="BH1" s="7" t="s">
        <v>493</v>
      </c>
      <c r="BI1" s="7" t="s">
        <v>582</v>
      </c>
      <c r="BJ1" s="7" t="s">
        <v>494</v>
      </c>
      <c r="BK1" s="7" t="s">
        <v>573</v>
      </c>
      <c r="BL1" s="7" t="s">
        <v>495</v>
      </c>
      <c r="BM1" s="7" t="s">
        <v>554</v>
      </c>
      <c r="BN1" s="7" t="s">
        <v>611</v>
      </c>
      <c r="BO1" s="7" t="s">
        <v>561</v>
      </c>
      <c r="BP1" s="7" t="s">
        <v>590</v>
      </c>
      <c r="BQ1" s="7" t="s">
        <v>570</v>
      </c>
      <c r="BR1" s="7" t="s">
        <v>574</v>
      </c>
      <c r="BS1" s="7" t="s">
        <v>595</v>
      </c>
      <c r="BT1" s="7" t="s">
        <v>605</v>
      </c>
      <c r="BU1" s="7" t="s">
        <v>617</v>
      </c>
      <c r="BV1" s="7" t="s">
        <v>619</v>
      </c>
      <c r="BW1" s="7" t="s">
        <v>620</v>
      </c>
    </row>
    <row r="2" spans="1:75" s="91" customFormat="1" ht="12.75">
      <c r="A2" s="131" t="s">
        <v>524</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7"/>
      <c r="AJ2" s="127"/>
      <c r="AK2" s="127"/>
      <c r="AL2" s="127"/>
      <c r="AM2" s="127"/>
      <c r="AN2" s="127"/>
      <c r="AO2" s="127"/>
      <c r="AP2" s="127"/>
      <c r="AQ2" s="127"/>
      <c r="AR2" s="127"/>
      <c r="AS2" s="303"/>
      <c r="AT2" s="127"/>
      <c r="AU2" s="303"/>
      <c r="AV2" s="127"/>
      <c r="AW2" s="303"/>
      <c r="AX2" s="127"/>
      <c r="AY2" s="127"/>
      <c r="AZ2" s="127"/>
      <c r="BA2" s="303"/>
      <c r="BB2" s="303"/>
      <c r="BC2" s="127"/>
      <c r="BD2" s="127"/>
      <c r="BE2" s="382"/>
      <c r="BF2" s="127"/>
      <c r="BG2" s="127"/>
      <c r="BH2" s="127"/>
      <c r="BI2" s="127"/>
      <c r="BJ2" s="127"/>
      <c r="BK2" s="127"/>
      <c r="BL2" s="127"/>
      <c r="BM2" s="127"/>
      <c r="BN2" s="127"/>
      <c r="BO2" s="127"/>
      <c r="BP2" s="127"/>
      <c r="BQ2" s="127"/>
      <c r="BR2" s="127"/>
      <c r="BS2" s="127"/>
      <c r="BT2" s="127"/>
      <c r="BU2" s="127"/>
      <c r="BV2" s="127"/>
      <c r="BW2" s="127"/>
    </row>
    <row r="3" spans="1:75" s="91" customFormat="1" ht="12.75">
      <c r="A3" s="139" t="s">
        <v>518</v>
      </c>
      <c r="B3" s="88"/>
      <c r="C3" s="88"/>
      <c r="D3" s="88"/>
      <c r="E3" s="88"/>
      <c r="F3" s="93"/>
      <c r="G3" s="88"/>
      <c r="H3" s="88"/>
      <c r="I3" s="88"/>
      <c r="J3" s="88"/>
      <c r="K3" s="93"/>
      <c r="L3" s="88"/>
      <c r="M3" s="88"/>
      <c r="N3" s="88"/>
      <c r="O3" s="88"/>
      <c r="P3" s="93"/>
      <c r="Q3" s="88"/>
      <c r="R3" s="88"/>
      <c r="S3" s="88"/>
      <c r="T3" s="88"/>
      <c r="U3" s="93"/>
      <c r="V3" s="88"/>
      <c r="W3" s="88"/>
      <c r="X3" s="88"/>
      <c r="Y3" s="88"/>
      <c r="Z3" s="93"/>
      <c r="AA3" s="88">
        <f>'Spec items - HUF mn'!AA3/211.6</f>
        <v>173.39319470699434</v>
      </c>
      <c r="AB3" s="88">
        <v>153</v>
      </c>
      <c r="AC3" s="88">
        <v>161</v>
      </c>
      <c r="AD3" s="88">
        <f>'Spec items - HUF mn'!AD3/201.9</f>
        <v>81.1441307578009</v>
      </c>
      <c r="AE3" s="93">
        <v>572</v>
      </c>
      <c r="AF3" s="88">
        <v>88</v>
      </c>
      <c r="AG3" s="88">
        <v>128</v>
      </c>
      <c r="AH3" s="88">
        <f>'Spec items - HUF mn'!AH3/183.3</f>
        <v>109.84724495362792</v>
      </c>
      <c r="AI3" s="88">
        <v>104</v>
      </c>
      <c r="AJ3" s="93">
        <v>429</v>
      </c>
      <c r="AK3" s="88">
        <v>138</v>
      </c>
      <c r="AL3" s="88">
        <v>193</v>
      </c>
      <c r="AM3" s="88">
        <v>209</v>
      </c>
      <c r="AN3" s="88">
        <v>193</v>
      </c>
      <c r="AO3" s="93">
        <v>732</v>
      </c>
      <c r="AP3" s="88">
        <v>203</v>
      </c>
      <c r="AQ3" s="88">
        <v>72</v>
      </c>
      <c r="AR3" s="88">
        <v>185</v>
      </c>
      <c r="AS3" s="100">
        <v>406</v>
      </c>
      <c r="AT3" s="88">
        <v>260</v>
      </c>
      <c r="AU3" s="100">
        <v>309</v>
      </c>
      <c r="AV3" s="93">
        <v>712</v>
      </c>
      <c r="AW3" s="101">
        <v>715</v>
      </c>
      <c r="AX3" s="88">
        <v>269</v>
      </c>
      <c r="AY3" s="88">
        <v>343</v>
      </c>
      <c r="AZ3" s="88">
        <v>374</v>
      </c>
      <c r="BA3" s="100">
        <v>316</v>
      </c>
      <c r="BB3" s="100">
        <v>833</v>
      </c>
      <c r="BC3" s="88">
        <v>422</v>
      </c>
      <c r="BD3" s="93">
        <v>1252</v>
      </c>
      <c r="BE3" s="372">
        <v>279</v>
      </c>
      <c r="BF3" s="88">
        <v>332</v>
      </c>
      <c r="BG3" s="88">
        <v>347</v>
      </c>
      <c r="BH3" s="88">
        <v>406</v>
      </c>
      <c r="BI3" s="88">
        <v>406</v>
      </c>
      <c r="BJ3" s="93">
        <v>1366</v>
      </c>
      <c r="BK3" s="93">
        <v>1366</v>
      </c>
      <c r="BL3" s="88">
        <v>439</v>
      </c>
      <c r="BM3" s="88">
        <v>402</v>
      </c>
      <c r="BN3" s="88">
        <v>402</v>
      </c>
      <c r="BO3" s="88">
        <v>418</v>
      </c>
      <c r="BP3" s="88">
        <v>418</v>
      </c>
      <c r="BQ3" s="88">
        <v>385</v>
      </c>
      <c r="BR3" s="93">
        <v>1643</v>
      </c>
      <c r="BS3" s="88">
        <v>344</v>
      </c>
      <c r="BT3" s="88">
        <v>303</v>
      </c>
      <c r="BU3" s="88">
        <v>330</v>
      </c>
      <c r="BV3" s="232">
        <v>270</v>
      </c>
      <c r="BW3" s="473">
        <v>1248</v>
      </c>
    </row>
    <row r="4" spans="1:75" s="91" customFormat="1" ht="12.75">
      <c r="A4" s="139" t="s">
        <v>517</v>
      </c>
      <c r="B4" s="88"/>
      <c r="C4" s="88"/>
      <c r="D4" s="88"/>
      <c r="E4" s="88"/>
      <c r="F4" s="93"/>
      <c r="G4" s="88"/>
      <c r="H4" s="88"/>
      <c r="I4" s="88"/>
      <c r="J4" s="88"/>
      <c r="K4" s="93"/>
      <c r="L4" s="88"/>
      <c r="M4" s="88"/>
      <c r="N4" s="88"/>
      <c r="O4" s="88"/>
      <c r="P4" s="93"/>
      <c r="Q4" s="88"/>
      <c r="R4" s="88"/>
      <c r="S4" s="88"/>
      <c r="T4" s="88"/>
      <c r="U4" s="93"/>
      <c r="V4" s="88"/>
      <c r="W4" s="88"/>
      <c r="X4" s="88"/>
      <c r="Y4" s="88"/>
      <c r="Z4" s="93"/>
      <c r="AA4" s="88">
        <f>'Spec items - HUF mn'!AA4/211.6</f>
        <v>91.45557655954632</v>
      </c>
      <c r="AB4" s="88">
        <v>326</v>
      </c>
      <c r="AC4" s="88">
        <v>272</v>
      </c>
      <c r="AD4" s="88">
        <f>'Spec items - HUF mn'!AD4/201.9</f>
        <v>108.46953937592868</v>
      </c>
      <c r="AE4" s="93">
        <v>803</v>
      </c>
      <c r="AF4" s="88">
        <v>147</v>
      </c>
      <c r="AG4" s="88">
        <v>318</v>
      </c>
      <c r="AH4" s="88">
        <f>'Spec items - HUF mn'!AH4/183.3</f>
        <v>257.61047463175123</v>
      </c>
      <c r="AI4" s="88">
        <v>217</v>
      </c>
      <c r="AJ4" s="93">
        <v>935</v>
      </c>
      <c r="AK4" s="88">
        <v>232</v>
      </c>
      <c r="AL4" s="88">
        <v>435</v>
      </c>
      <c r="AM4" s="88">
        <v>29</v>
      </c>
      <c r="AN4" s="88">
        <v>-229</v>
      </c>
      <c r="AO4" s="93">
        <v>396</v>
      </c>
      <c r="AP4" s="88">
        <v>21</v>
      </c>
      <c r="AQ4" s="88">
        <v>196</v>
      </c>
      <c r="AR4" s="88">
        <v>-9</v>
      </c>
      <c r="AS4" s="100">
        <v>227</v>
      </c>
      <c r="AT4" s="88">
        <v>-100</v>
      </c>
      <c r="AU4" s="100">
        <v>-88</v>
      </c>
      <c r="AV4" s="93">
        <v>129</v>
      </c>
      <c r="AW4" s="101">
        <v>139</v>
      </c>
      <c r="AX4" s="88">
        <v>-14</v>
      </c>
      <c r="AY4" s="88">
        <v>96</v>
      </c>
      <c r="AZ4" s="88">
        <v>176</v>
      </c>
      <c r="BA4" s="100">
        <v>176</v>
      </c>
      <c r="BB4" s="100">
        <v>269</v>
      </c>
      <c r="BC4" s="88">
        <v>56</v>
      </c>
      <c r="BD4" s="93">
        <v>326</v>
      </c>
      <c r="BE4" s="372">
        <v>-20</v>
      </c>
      <c r="BF4" s="88">
        <v>62</v>
      </c>
      <c r="BG4" s="88">
        <v>231</v>
      </c>
      <c r="BH4" s="88">
        <v>-8</v>
      </c>
      <c r="BI4" s="88">
        <v>-8</v>
      </c>
      <c r="BJ4" s="93">
        <v>282</v>
      </c>
      <c r="BK4" s="93">
        <v>282</v>
      </c>
      <c r="BL4" s="88">
        <v>196</v>
      </c>
      <c r="BM4" s="88">
        <v>93</v>
      </c>
      <c r="BN4" s="88">
        <v>93</v>
      </c>
      <c r="BO4" s="88">
        <v>-90</v>
      </c>
      <c r="BP4" s="88">
        <v>-87</v>
      </c>
      <c r="BQ4" s="88">
        <v>-177</v>
      </c>
      <c r="BR4" s="93">
        <v>-2</v>
      </c>
      <c r="BS4" s="88">
        <v>95</v>
      </c>
      <c r="BT4" s="88">
        <v>-161</v>
      </c>
      <c r="BU4" s="88">
        <v>240</v>
      </c>
      <c r="BV4" s="232">
        <v>5</v>
      </c>
      <c r="BW4" s="473">
        <v>176</v>
      </c>
    </row>
    <row r="5" spans="1:75" s="91" customFormat="1" ht="12.75">
      <c r="A5" s="139" t="s">
        <v>516</v>
      </c>
      <c r="B5" s="88"/>
      <c r="C5" s="88"/>
      <c r="D5" s="88"/>
      <c r="E5" s="88"/>
      <c r="F5" s="93"/>
      <c r="G5" s="88"/>
      <c r="H5" s="88"/>
      <c r="I5" s="88"/>
      <c r="J5" s="88"/>
      <c r="K5" s="93"/>
      <c r="L5" s="88"/>
      <c r="M5" s="88"/>
      <c r="N5" s="88"/>
      <c r="O5" s="88"/>
      <c r="P5" s="93"/>
      <c r="Q5" s="88"/>
      <c r="R5" s="88"/>
      <c r="S5" s="88"/>
      <c r="T5" s="88"/>
      <c r="U5" s="93"/>
      <c r="V5" s="88"/>
      <c r="W5" s="88"/>
      <c r="X5" s="88"/>
      <c r="Y5" s="88"/>
      <c r="Z5" s="93"/>
      <c r="AA5" s="88">
        <f>'Spec items - HUF mn'!AA5/211.6</f>
        <v>53.544423440453684</v>
      </c>
      <c r="AB5" s="88">
        <v>46</v>
      </c>
      <c r="AC5" s="88">
        <v>25</v>
      </c>
      <c r="AD5" s="88">
        <f>'Spec items - HUF mn'!AD5/201.9</f>
        <v>47.99405646359584</v>
      </c>
      <c r="AE5" s="93">
        <v>172</v>
      </c>
      <c r="AF5" s="88">
        <v>67</v>
      </c>
      <c r="AG5" s="88">
        <v>45</v>
      </c>
      <c r="AH5" s="88">
        <f>'Spec items - HUF mn'!AH5/183.3</f>
        <v>45.810147299509</v>
      </c>
      <c r="AI5" s="88">
        <v>53</v>
      </c>
      <c r="AJ5" s="93">
        <v>211</v>
      </c>
      <c r="AK5" s="88">
        <v>65</v>
      </c>
      <c r="AL5" s="88">
        <v>60</v>
      </c>
      <c r="AM5" s="88">
        <v>54</v>
      </c>
      <c r="AN5" s="88">
        <v>57</v>
      </c>
      <c r="AO5" s="93">
        <v>236</v>
      </c>
      <c r="AP5" s="88">
        <v>82</v>
      </c>
      <c r="AQ5" s="88">
        <v>57</v>
      </c>
      <c r="AR5" s="88">
        <v>90</v>
      </c>
      <c r="AS5" s="100">
        <v>222</v>
      </c>
      <c r="AT5" s="88">
        <v>94</v>
      </c>
      <c r="AU5" s="100">
        <v>84</v>
      </c>
      <c r="AV5" s="93">
        <v>322</v>
      </c>
      <c r="AW5" s="101">
        <v>306</v>
      </c>
      <c r="AX5" s="88">
        <v>130</v>
      </c>
      <c r="AY5" s="88">
        <v>96</v>
      </c>
      <c r="AZ5" s="88">
        <v>40</v>
      </c>
      <c r="BA5" s="100">
        <v>40</v>
      </c>
      <c r="BB5" s="100">
        <v>261</v>
      </c>
      <c r="BC5" s="88">
        <v>64</v>
      </c>
      <c r="BD5" s="93">
        <v>325</v>
      </c>
      <c r="BE5" s="372">
        <v>86</v>
      </c>
      <c r="BF5" s="88">
        <v>80</v>
      </c>
      <c r="BG5" s="88">
        <v>36</v>
      </c>
      <c r="BH5" s="88">
        <v>52</v>
      </c>
      <c r="BI5" s="88">
        <v>52</v>
      </c>
      <c r="BJ5" s="93">
        <v>251</v>
      </c>
      <c r="BK5" s="93">
        <v>254</v>
      </c>
      <c r="BL5" s="88">
        <v>94</v>
      </c>
      <c r="BM5" s="88">
        <v>79</v>
      </c>
      <c r="BN5" s="88">
        <v>79</v>
      </c>
      <c r="BO5" s="88">
        <v>82</v>
      </c>
      <c r="BP5" s="88">
        <v>82</v>
      </c>
      <c r="BQ5" s="88">
        <v>74</v>
      </c>
      <c r="BR5" s="93">
        <v>329</v>
      </c>
      <c r="BS5" s="88">
        <v>55</v>
      </c>
      <c r="BT5" s="88">
        <v>35</v>
      </c>
      <c r="BU5" s="88">
        <v>56</v>
      </c>
      <c r="BV5" s="232">
        <v>13</v>
      </c>
      <c r="BW5" s="473">
        <v>160</v>
      </c>
    </row>
    <row r="6" spans="1:75" s="106" customFormat="1" ht="12.75" hidden="1">
      <c r="A6" s="409" t="s">
        <v>62</v>
      </c>
      <c r="B6" s="408"/>
      <c r="C6" s="408"/>
      <c r="D6" s="408"/>
      <c r="E6" s="408"/>
      <c r="F6" s="108"/>
      <c r="G6" s="408"/>
      <c r="H6" s="408"/>
      <c r="I6" s="408"/>
      <c r="J6" s="408"/>
      <c r="K6" s="108"/>
      <c r="L6" s="408"/>
      <c r="M6" s="408"/>
      <c r="N6" s="408"/>
      <c r="O6" s="408"/>
      <c r="P6" s="108"/>
      <c r="Q6" s="408"/>
      <c r="R6" s="408"/>
      <c r="S6" s="408"/>
      <c r="T6" s="408"/>
      <c r="U6" s="108"/>
      <c r="V6" s="408"/>
      <c r="W6" s="408"/>
      <c r="X6" s="408"/>
      <c r="Y6" s="408"/>
      <c r="Z6" s="108"/>
      <c r="AA6" s="408">
        <f>'Spec items - HUF mn'!AA6/211.6</f>
        <v>17.254253308128543</v>
      </c>
      <c r="AB6" s="408">
        <v>18</v>
      </c>
      <c r="AC6" s="408">
        <v>25</v>
      </c>
      <c r="AD6" s="408">
        <f>'Spec items - HUF mn'!AD6/201.9</f>
        <v>50.777612679544326</v>
      </c>
      <c r="AE6" s="108">
        <v>111</v>
      </c>
      <c r="AF6" s="408">
        <v>66</v>
      </c>
      <c r="AG6" s="408">
        <v>66</v>
      </c>
      <c r="AH6" s="408">
        <f>'Spec items - HUF mn'!AH6/183.3</f>
        <v>65.13911620294598</v>
      </c>
      <c r="AI6" s="408">
        <v>24</v>
      </c>
      <c r="AJ6" s="108">
        <v>222</v>
      </c>
      <c r="AK6" s="408">
        <v>15</v>
      </c>
      <c r="AL6" s="408">
        <v>-87</v>
      </c>
      <c r="AM6" s="408">
        <v>-1</v>
      </c>
      <c r="AN6" s="408">
        <v>19</v>
      </c>
      <c r="AO6" s="108">
        <v>-44</v>
      </c>
      <c r="AP6" s="408">
        <v>-16</v>
      </c>
      <c r="AQ6" s="408">
        <v>-44</v>
      </c>
      <c r="AR6" s="408">
        <v>7</v>
      </c>
      <c r="AS6" s="410">
        <v>-56</v>
      </c>
      <c r="AT6" s="408">
        <v>-20</v>
      </c>
      <c r="AU6" s="410">
        <v>-19</v>
      </c>
      <c r="AV6" s="108">
        <v>-75</v>
      </c>
      <c r="AW6" s="308">
        <v>-75</v>
      </c>
      <c r="AX6" s="408">
        <v>-11</v>
      </c>
      <c r="AY6" s="408">
        <v>7</v>
      </c>
      <c r="AZ6" s="408">
        <v>28</v>
      </c>
      <c r="BA6" s="410">
        <v>28</v>
      </c>
      <c r="BB6" s="410">
        <v>26</v>
      </c>
      <c r="BC6" s="408">
        <v>-19</v>
      </c>
      <c r="BD6" s="108">
        <v>7</v>
      </c>
      <c r="BE6" s="407"/>
      <c r="BF6" s="408">
        <v>0</v>
      </c>
      <c r="BG6" s="408">
        <v>0</v>
      </c>
      <c r="BH6" s="408"/>
      <c r="BI6" s="408"/>
      <c r="BJ6" s="108"/>
      <c r="BK6" s="108"/>
      <c r="BL6" s="408"/>
      <c r="BM6" s="408">
        <v>0</v>
      </c>
      <c r="BN6" s="408"/>
      <c r="BO6" s="408">
        <v>0</v>
      </c>
      <c r="BP6" s="408">
        <v>0</v>
      </c>
      <c r="BQ6" s="408"/>
      <c r="BR6" s="108"/>
      <c r="BS6" s="408"/>
      <c r="BT6" s="408"/>
      <c r="BU6" s="408">
        <v>0</v>
      </c>
      <c r="BV6" s="408"/>
      <c r="BW6" s="108"/>
    </row>
    <row r="7" spans="1:75" s="91" customFormat="1" ht="12.75">
      <c r="A7" s="124" t="s">
        <v>195</v>
      </c>
      <c r="B7" s="88"/>
      <c r="C7" s="88"/>
      <c r="D7" s="88"/>
      <c r="E7" s="88"/>
      <c r="F7" s="93"/>
      <c r="G7" s="88"/>
      <c r="H7" s="88"/>
      <c r="I7" s="88"/>
      <c r="J7" s="88"/>
      <c r="K7" s="93"/>
      <c r="L7" s="88"/>
      <c r="M7" s="88"/>
      <c r="N7" s="88"/>
      <c r="O7" s="88"/>
      <c r="P7" s="93"/>
      <c r="Q7" s="88"/>
      <c r="R7" s="88"/>
      <c r="S7" s="88"/>
      <c r="T7" s="88"/>
      <c r="U7" s="93"/>
      <c r="V7" s="88"/>
      <c r="W7" s="88"/>
      <c r="X7" s="88"/>
      <c r="Y7" s="88"/>
      <c r="Z7" s="93"/>
      <c r="AA7" s="88">
        <f>'Spec items - HUF mn'!AA7/211.6</f>
        <v>-52.36767485822306</v>
      </c>
      <c r="AB7" s="88">
        <v>-66</v>
      </c>
      <c r="AC7" s="88">
        <v>-46</v>
      </c>
      <c r="AD7" s="88">
        <f>'Spec items - HUF mn'!AD7/201.9</f>
        <v>-50.00495294700347</v>
      </c>
      <c r="AE7" s="93">
        <v>-214</v>
      </c>
      <c r="AF7" s="88">
        <v>-43</v>
      </c>
      <c r="AG7" s="88">
        <v>-52</v>
      </c>
      <c r="AH7" s="88">
        <f>'Spec items - HUF mn'!AH7/183.3</f>
        <v>-50.36552100381887</v>
      </c>
      <c r="AI7" s="88">
        <v>-15</v>
      </c>
      <c r="AJ7" s="93">
        <v>-161</v>
      </c>
      <c r="AK7" s="88">
        <v>-53</v>
      </c>
      <c r="AL7" s="88">
        <v>-73</v>
      </c>
      <c r="AM7" s="88">
        <v>-54</v>
      </c>
      <c r="AN7" s="88">
        <v>-49</v>
      </c>
      <c r="AO7" s="93">
        <v>-226</v>
      </c>
      <c r="AP7" s="88">
        <v>-24</v>
      </c>
      <c r="AQ7" s="88">
        <v>-97</v>
      </c>
      <c r="AR7" s="88">
        <v>-68</v>
      </c>
      <c r="AS7" s="100">
        <v>-187</v>
      </c>
      <c r="AT7" s="88">
        <v>-86</v>
      </c>
      <c r="AU7" s="100">
        <v>-55</v>
      </c>
      <c r="AV7" s="93">
        <v>-269</v>
      </c>
      <c r="AW7" s="101">
        <v>-242</v>
      </c>
      <c r="AX7" s="88">
        <v>-62</v>
      </c>
      <c r="AY7" s="88">
        <v>-103</v>
      </c>
      <c r="AZ7" s="88">
        <v>-53</v>
      </c>
      <c r="BA7" s="100">
        <v>-53</v>
      </c>
      <c r="BB7" s="100">
        <v>-218</v>
      </c>
      <c r="BC7" s="88">
        <v>-100</v>
      </c>
      <c r="BD7" s="93">
        <v>-317</v>
      </c>
      <c r="BE7" s="372">
        <v>-63</v>
      </c>
      <c r="BF7" s="88">
        <v>-61</v>
      </c>
      <c r="BG7" s="88">
        <v>-76</v>
      </c>
      <c r="BH7" s="88">
        <v>-74</v>
      </c>
      <c r="BI7" s="88">
        <v>-66</v>
      </c>
      <c r="BJ7" s="93">
        <v>-273</v>
      </c>
      <c r="BK7" s="93">
        <v>-245</v>
      </c>
      <c r="BL7" s="88">
        <v>-102</v>
      </c>
      <c r="BM7" s="88">
        <v>-80</v>
      </c>
      <c r="BN7" s="88">
        <v>-75</v>
      </c>
      <c r="BO7" s="88">
        <v>-49</v>
      </c>
      <c r="BP7" s="88">
        <v>-41</v>
      </c>
      <c r="BQ7" s="88">
        <v>-23</v>
      </c>
      <c r="BR7" s="93">
        <v>-235</v>
      </c>
      <c r="BS7" s="88">
        <v>-51</v>
      </c>
      <c r="BT7" s="88">
        <v>-42</v>
      </c>
      <c r="BU7" s="88">
        <v>-54</v>
      </c>
      <c r="BV7" s="232">
        <v>-92</v>
      </c>
      <c r="BW7" s="473">
        <v>-238</v>
      </c>
    </row>
    <row r="8" spans="1:75" s="91" customFormat="1" ht="12.75">
      <c r="A8" s="124" t="s">
        <v>450</v>
      </c>
      <c r="B8" s="88"/>
      <c r="C8" s="88"/>
      <c r="D8" s="88"/>
      <c r="E8" s="88"/>
      <c r="F8" s="93"/>
      <c r="G8" s="88"/>
      <c r="H8" s="88"/>
      <c r="I8" s="88"/>
      <c r="J8" s="88"/>
      <c r="K8" s="93"/>
      <c r="L8" s="88"/>
      <c r="M8" s="88"/>
      <c r="N8" s="88"/>
      <c r="O8" s="88"/>
      <c r="P8" s="93"/>
      <c r="Q8" s="88"/>
      <c r="R8" s="88"/>
      <c r="S8" s="88"/>
      <c r="T8" s="88"/>
      <c r="U8" s="93"/>
      <c r="V8" s="88"/>
      <c r="W8" s="88"/>
      <c r="X8" s="88"/>
      <c r="Y8" s="88"/>
      <c r="Z8" s="93"/>
      <c r="AA8" s="88">
        <f>'Spec items - HUF mn'!AA8/211.6</f>
        <v>26.17202268431002</v>
      </c>
      <c r="AB8" s="88">
        <v>5</v>
      </c>
      <c r="AC8" s="88">
        <v>1</v>
      </c>
      <c r="AD8" s="88">
        <f>'Spec items - HUF mn'!AD8/201.9</f>
        <v>9.25705794947994</v>
      </c>
      <c r="AE8" s="93">
        <v>41</v>
      </c>
      <c r="AF8" s="88">
        <v>-7</v>
      </c>
      <c r="AG8" s="88">
        <v>-11</v>
      </c>
      <c r="AH8" s="88">
        <f>'Spec items - HUF mn'!AH8/183.3</f>
        <v>-3.1423895253682486</v>
      </c>
      <c r="AI8" s="88">
        <v>14</v>
      </c>
      <c r="AJ8" s="93">
        <v>-7</v>
      </c>
      <c r="AK8" s="88">
        <v>-8</v>
      </c>
      <c r="AL8" s="88">
        <v>-7</v>
      </c>
      <c r="AM8" s="88">
        <v>34</v>
      </c>
      <c r="AN8" s="88">
        <v>19</v>
      </c>
      <c r="AO8" s="93">
        <v>37</v>
      </c>
      <c r="AP8" s="88">
        <v>-30</v>
      </c>
      <c r="AQ8" s="88">
        <v>43</v>
      </c>
      <c r="AR8" s="88">
        <v>12</v>
      </c>
      <c r="AS8" s="100">
        <v>29</v>
      </c>
      <c r="AT8" s="88">
        <v>-8</v>
      </c>
      <c r="AU8" s="100">
        <v>-1</v>
      </c>
      <c r="AV8" s="93">
        <v>14</v>
      </c>
      <c r="AW8" s="101">
        <v>28</v>
      </c>
      <c r="AX8" s="88">
        <v>-5</v>
      </c>
      <c r="AY8" s="88">
        <v>2</v>
      </c>
      <c r="AZ8" s="88">
        <v>11</v>
      </c>
      <c r="BA8" s="100">
        <v>11</v>
      </c>
      <c r="BB8" s="100">
        <v>10</v>
      </c>
      <c r="BC8" s="88">
        <v>-9</v>
      </c>
      <c r="BD8" s="93">
        <v>1</v>
      </c>
      <c r="BE8" s="372">
        <v>-13</v>
      </c>
      <c r="BF8" s="88">
        <v>-34</v>
      </c>
      <c r="BG8" s="88">
        <v>-20</v>
      </c>
      <c r="BH8" s="88">
        <v>30</v>
      </c>
      <c r="BI8" s="88">
        <v>30</v>
      </c>
      <c r="BJ8" s="93">
        <v>-40</v>
      </c>
      <c r="BK8" s="93">
        <v>-40</v>
      </c>
      <c r="BL8" s="88">
        <v>-20</v>
      </c>
      <c r="BM8" s="88">
        <v>-24</v>
      </c>
      <c r="BN8" s="88">
        <v>-22</v>
      </c>
      <c r="BO8" s="88">
        <v>-42</v>
      </c>
      <c r="BP8" s="88">
        <v>-42</v>
      </c>
      <c r="BQ8" s="88">
        <v>21</v>
      </c>
      <c r="BR8" s="93">
        <v>-58</v>
      </c>
      <c r="BS8" s="88">
        <v>3</v>
      </c>
      <c r="BT8" s="88">
        <v>-50</v>
      </c>
      <c r="BU8" s="88">
        <v>-54</v>
      </c>
      <c r="BV8" s="232">
        <v>27</v>
      </c>
      <c r="BW8" s="473">
        <v>-75</v>
      </c>
    </row>
    <row r="9" spans="1:75" s="106" customFormat="1" ht="25.5" hidden="1">
      <c r="A9" s="409" t="s">
        <v>417</v>
      </c>
      <c r="B9" s="408"/>
      <c r="C9" s="408"/>
      <c r="D9" s="408"/>
      <c r="E9" s="408"/>
      <c r="F9" s="108"/>
      <c r="G9" s="408"/>
      <c r="H9" s="408"/>
      <c r="I9" s="408"/>
      <c r="J9" s="408"/>
      <c r="K9" s="108"/>
      <c r="L9" s="408"/>
      <c r="M9" s="408"/>
      <c r="N9" s="408"/>
      <c r="O9" s="408"/>
      <c r="P9" s="108"/>
      <c r="Q9" s="408"/>
      <c r="R9" s="408"/>
      <c r="S9" s="408"/>
      <c r="T9" s="408"/>
      <c r="U9" s="108"/>
      <c r="V9" s="408"/>
      <c r="W9" s="408"/>
      <c r="X9" s="408"/>
      <c r="Y9" s="408"/>
      <c r="Z9" s="108"/>
      <c r="AA9" s="408">
        <f aca="true" t="shared" si="0" ref="AA9:AF9">SUM(AA3:AA8)</f>
        <v>309.4517958412099</v>
      </c>
      <c r="AB9" s="408">
        <f t="shared" si="0"/>
        <v>482</v>
      </c>
      <c r="AC9" s="408">
        <f t="shared" si="0"/>
        <v>438</v>
      </c>
      <c r="AD9" s="408">
        <f t="shared" si="0"/>
        <v>247.6374442793462</v>
      </c>
      <c r="AE9" s="108">
        <f t="shared" si="0"/>
        <v>1485</v>
      </c>
      <c r="AF9" s="408">
        <f t="shared" si="0"/>
        <v>318</v>
      </c>
      <c r="AG9" s="408">
        <f aca="true" t="shared" si="1" ref="AG9:AL9">SUM(AG3:AG8)</f>
        <v>494</v>
      </c>
      <c r="AH9" s="408">
        <f t="shared" si="1"/>
        <v>424.899072558647</v>
      </c>
      <c r="AI9" s="408">
        <f t="shared" si="1"/>
        <v>397</v>
      </c>
      <c r="AJ9" s="108">
        <f t="shared" si="1"/>
        <v>1629</v>
      </c>
      <c r="AK9" s="408">
        <f t="shared" si="1"/>
        <v>389</v>
      </c>
      <c r="AL9" s="408">
        <f t="shared" si="1"/>
        <v>521</v>
      </c>
      <c r="AM9" s="408">
        <v>271</v>
      </c>
      <c r="AN9" s="408">
        <v>10</v>
      </c>
      <c r="AO9" s="108">
        <v>1131</v>
      </c>
      <c r="AP9" s="408">
        <v>236</v>
      </c>
      <c r="AQ9" s="408">
        <v>227</v>
      </c>
      <c r="AR9" s="408">
        <v>217</v>
      </c>
      <c r="AS9" s="410">
        <v>0</v>
      </c>
      <c r="AT9" s="408">
        <v>140</v>
      </c>
      <c r="AU9" s="410"/>
      <c r="AV9" s="108">
        <v>833</v>
      </c>
      <c r="AW9" s="308"/>
      <c r="AX9" s="408">
        <v>307</v>
      </c>
      <c r="AY9" s="408">
        <v>441</v>
      </c>
      <c r="AZ9" s="408">
        <v>576</v>
      </c>
      <c r="BA9" s="410"/>
      <c r="BB9" s="410"/>
      <c r="BC9" s="408"/>
      <c r="BD9" s="108"/>
      <c r="BE9" s="407"/>
      <c r="BF9" s="408"/>
      <c r="BG9" s="408"/>
      <c r="BH9" s="408"/>
      <c r="BI9" s="408"/>
      <c r="BJ9" s="108"/>
      <c r="BK9" s="108"/>
      <c r="BL9" s="408"/>
      <c r="BM9" s="408"/>
      <c r="BN9" s="408"/>
      <c r="BO9" s="408"/>
      <c r="BP9" s="408"/>
      <c r="BQ9" s="408"/>
      <c r="BR9" s="108"/>
      <c r="BS9" s="408"/>
      <c r="BT9" s="408"/>
      <c r="BU9" s="408"/>
      <c r="BV9" s="408"/>
      <c r="BW9" s="108"/>
    </row>
    <row r="10" spans="1:75" s="106" customFormat="1" ht="12.75" hidden="1">
      <c r="A10" s="406" t="s">
        <v>415</v>
      </c>
      <c r="B10" s="408"/>
      <c r="C10" s="408"/>
      <c r="D10" s="408"/>
      <c r="E10" s="408"/>
      <c r="F10" s="108"/>
      <c r="G10" s="408"/>
      <c r="H10" s="408"/>
      <c r="I10" s="408"/>
      <c r="J10" s="408"/>
      <c r="K10" s="108"/>
      <c r="L10" s="408"/>
      <c r="M10" s="408"/>
      <c r="N10" s="408"/>
      <c r="O10" s="408"/>
      <c r="P10" s="108"/>
      <c r="Q10" s="408"/>
      <c r="R10" s="408"/>
      <c r="S10" s="408"/>
      <c r="T10" s="408"/>
      <c r="U10" s="108"/>
      <c r="V10" s="408"/>
      <c r="W10" s="408"/>
      <c r="X10" s="408"/>
      <c r="Y10" s="408"/>
      <c r="Z10" s="108"/>
      <c r="AA10" s="408"/>
      <c r="AB10" s="408"/>
      <c r="AC10" s="408"/>
      <c r="AD10" s="408"/>
      <c r="AE10" s="108"/>
      <c r="AF10" s="408"/>
      <c r="AG10" s="408"/>
      <c r="AH10" s="408"/>
      <c r="AI10" s="408"/>
      <c r="AJ10" s="108"/>
      <c r="AK10" s="408"/>
      <c r="AL10" s="408"/>
      <c r="AM10" s="408"/>
      <c r="AN10" s="408"/>
      <c r="AO10" s="108"/>
      <c r="AP10" s="408"/>
      <c r="AQ10" s="408"/>
      <c r="AR10" s="105">
        <v>-44</v>
      </c>
      <c r="AS10" s="411">
        <v>0</v>
      </c>
      <c r="AT10" s="105">
        <v>36</v>
      </c>
      <c r="AU10" s="411"/>
      <c r="AV10" s="108">
        <v>-8</v>
      </c>
      <c r="AW10" s="308"/>
      <c r="AX10" s="408">
        <v>-38</v>
      </c>
      <c r="AY10" s="408">
        <v>-62</v>
      </c>
      <c r="AZ10" s="408">
        <v>-58</v>
      </c>
      <c r="BA10" s="410"/>
      <c r="BB10" s="410"/>
      <c r="BC10" s="408"/>
      <c r="BD10" s="108"/>
      <c r="BE10" s="407"/>
      <c r="BF10" s="408"/>
      <c r="BG10" s="408"/>
      <c r="BH10" s="408"/>
      <c r="BI10" s="408"/>
      <c r="BJ10" s="108"/>
      <c r="BK10" s="108"/>
      <c r="BL10" s="408"/>
      <c r="BM10" s="408"/>
      <c r="BN10" s="408"/>
      <c r="BO10" s="408"/>
      <c r="BP10" s="408"/>
      <c r="BQ10" s="408"/>
      <c r="BR10" s="108"/>
      <c r="BS10" s="408"/>
      <c r="BT10" s="408"/>
      <c r="BU10" s="408"/>
      <c r="BV10" s="408"/>
      <c r="BW10" s="108"/>
    </row>
    <row r="11" spans="1:75" s="91" customFormat="1" ht="12.75">
      <c r="A11" s="104" t="s">
        <v>418</v>
      </c>
      <c r="B11" s="96"/>
      <c r="C11" s="96"/>
      <c r="D11" s="96"/>
      <c r="E11" s="96"/>
      <c r="F11" s="97"/>
      <c r="G11" s="96"/>
      <c r="H11" s="96"/>
      <c r="I11" s="96"/>
      <c r="J11" s="96"/>
      <c r="K11" s="97"/>
      <c r="L11" s="96"/>
      <c r="M11" s="96"/>
      <c r="N11" s="96"/>
      <c r="O11" s="96"/>
      <c r="P11" s="97"/>
      <c r="Q11" s="96"/>
      <c r="R11" s="96"/>
      <c r="S11" s="96"/>
      <c r="T11" s="96"/>
      <c r="U11" s="97"/>
      <c r="V11" s="96"/>
      <c r="W11" s="96"/>
      <c r="X11" s="96"/>
      <c r="Y11" s="96"/>
      <c r="Z11" s="97"/>
      <c r="AA11" s="96"/>
      <c r="AB11" s="96"/>
      <c r="AC11" s="96"/>
      <c r="AD11" s="96"/>
      <c r="AE11" s="97"/>
      <c r="AF11" s="96"/>
      <c r="AG11" s="96"/>
      <c r="AH11" s="96"/>
      <c r="AI11" s="96"/>
      <c r="AJ11" s="97"/>
      <c r="AK11" s="96"/>
      <c r="AL11" s="96"/>
      <c r="AM11" s="96"/>
      <c r="AN11" s="96"/>
      <c r="AO11" s="97"/>
      <c r="AP11" s="96">
        <v>236</v>
      </c>
      <c r="AQ11" s="96">
        <v>227</v>
      </c>
      <c r="AR11" s="96">
        <v>173</v>
      </c>
      <c r="AS11" s="294">
        <v>641</v>
      </c>
      <c r="AT11" s="96">
        <v>176</v>
      </c>
      <c r="AU11" s="294">
        <v>230</v>
      </c>
      <c r="AV11" s="97">
        <v>824</v>
      </c>
      <c r="AW11" s="291">
        <v>871</v>
      </c>
      <c r="AX11" s="96">
        <v>269</v>
      </c>
      <c r="AY11" s="96">
        <v>379</v>
      </c>
      <c r="AZ11" s="96">
        <v>518</v>
      </c>
      <c r="BA11" s="294">
        <v>518</v>
      </c>
      <c r="BB11" s="294">
        <v>1181</v>
      </c>
      <c r="BC11" s="96">
        <v>414</v>
      </c>
      <c r="BD11" s="97">
        <v>1594</v>
      </c>
      <c r="BE11" s="373">
        <v>269</v>
      </c>
      <c r="BF11" s="96">
        <v>379</v>
      </c>
      <c r="BG11" s="96">
        <v>518</v>
      </c>
      <c r="BH11" s="96">
        <v>406</v>
      </c>
      <c r="BI11" s="96">
        <v>414</v>
      </c>
      <c r="BJ11" s="97">
        <v>1586</v>
      </c>
      <c r="BK11" s="97">
        <v>1617</v>
      </c>
      <c r="BL11" s="96">
        <v>607</v>
      </c>
      <c r="BM11" s="96">
        <v>470</v>
      </c>
      <c r="BN11" s="96">
        <v>477</v>
      </c>
      <c r="BO11" s="96">
        <v>319</v>
      </c>
      <c r="BP11" s="96">
        <v>330</v>
      </c>
      <c r="BQ11" s="96">
        <v>280</v>
      </c>
      <c r="BR11" s="97">
        <v>1677</v>
      </c>
      <c r="BS11" s="96">
        <v>446</v>
      </c>
      <c r="BT11" s="96">
        <v>85</v>
      </c>
      <c r="BU11" s="96">
        <v>518</v>
      </c>
      <c r="BV11" s="96">
        <f>SUM(BV3:BV8)</f>
        <v>223</v>
      </c>
      <c r="BW11" s="97">
        <f>SUM(BW3:BW8)</f>
        <v>1271</v>
      </c>
    </row>
    <row r="12" ht="12.75"/>
    <row r="13" spans="1:75" s="91" customFormat="1" ht="38.25">
      <c r="A13" s="89" t="s">
        <v>526</v>
      </c>
      <c r="B13" s="90" t="s">
        <v>2</v>
      </c>
      <c r="C13" s="90" t="s">
        <v>3</v>
      </c>
      <c r="D13" s="90" t="s">
        <v>4</v>
      </c>
      <c r="E13" s="90" t="s">
        <v>5</v>
      </c>
      <c r="F13" s="90" t="s">
        <v>6</v>
      </c>
      <c r="G13" s="90" t="s">
        <v>12</v>
      </c>
      <c r="H13" s="90" t="s">
        <v>13</v>
      </c>
      <c r="I13" s="90" t="s">
        <v>14</v>
      </c>
      <c r="J13" s="90" t="s">
        <v>15</v>
      </c>
      <c r="K13" s="90" t="s">
        <v>16</v>
      </c>
      <c r="L13" s="90" t="s">
        <v>17</v>
      </c>
      <c r="M13" s="90" t="s">
        <v>18</v>
      </c>
      <c r="N13" s="90" t="s">
        <v>19</v>
      </c>
      <c r="O13" s="90" t="s">
        <v>20</v>
      </c>
      <c r="P13" s="90" t="s">
        <v>21</v>
      </c>
      <c r="Q13" s="90" t="s">
        <v>22</v>
      </c>
      <c r="R13" s="90" t="s">
        <v>23</v>
      </c>
      <c r="S13" s="90" t="s">
        <v>24</v>
      </c>
      <c r="T13" s="90" t="s">
        <v>25</v>
      </c>
      <c r="U13" s="90" t="s">
        <v>26</v>
      </c>
      <c r="V13" s="90" t="s">
        <v>27</v>
      </c>
      <c r="W13" s="90" t="s">
        <v>28</v>
      </c>
      <c r="X13" s="90" t="s">
        <v>29</v>
      </c>
      <c r="Y13" s="90" t="s">
        <v>30</v>
      </c>
      <c r="Z13" s="90" t="s">
        <v>31</v>
      </c>
      <c r="AA13" s="90" t="s">
        <v>32</v>
      </c>
      <c r="AB13" s="90" t="s">
        <v>33</v>
      </c>
      <c r="AC13" s="90" t="s">
        <v>34</v>
      </c>
      <c r="AD13" s="90" t="s">
        <v>271</v>
      </c>
      <c r="AE13" s="90" t="s">
        <v>272</v>
      </c>
      <c r="AF13" s="90" t="s">
        <v>274</v>
      </c>
      <c r="AG13" s="90" t="s">
        <v>276</v>
      </c>
      <c r="AH13" s="90" t="s">
        <v>278</v>
      </c>
      <c r="AI13" s="120" t="s">
        <v>280</v>
      </c>
      <c r="AJ13" s="120" t="s">
        <v>281</v>
      </c>
      <c r="AK13" s="120" t="s">
        <v>289</v>
      </c>
      <c r="AL13" s="120" t="s">
        <v>290</v>
      </c>
      <c r="AM13" s="120" t="s">
        <v>291</v>
      </c>
      <c r="AN13" s="120" t="s">
        <v>292</v>
      </c>
      <c r="AO13" s="120" t="s">
        <v>293</v>
      </c>
      <c r="AP13" s="120" t="s">
        <v>329</v>
      </c>
      <c r="AQ13" s="120" t="s">
        <v>330</v>
      </c>
      <c r="AR13" s="120" t="s">
        <v>331</v>
      </c>
      <c r="AS13" s="311" t="s">
        <v>490</v>
      </c>
      <c r="AT13" s="120" t="s">
        <v>332</v>
      </c>
      <c r="AU13" s="289" t="s">
        <v>477</v>
      </c>
      <c r="AV13" s="120" t="s">
        <v>333</v>
      </c>
      <c r="AW13" s="311" t="s">
        <v>460</v>
      </c>
      <c r="AX13" s="120" t="s">
        <v>448</v>
      </c>
      <c r="AY13" s="120" t="s">
        <v>451</v>
      </c>
      <c r="AZ13" s="120" t="s">
        <v>453</v>
      </c>
      <c r="BA13" s="311" t="s">
        <v>466</v>
      </c>
      <c r="BB13" s="289" t="s">
        <v>491</v>
      </c>
      <c r="BC13" s="120" t="s">
        <v>454</v>
      </c>
      <c r="BD13" s="120" t="s">
        <v>454</v>
      </c>
      <c r="BE13" s="342" t="s">
        <v>492</v>
      </c>
      <c r="BF13" s="7" t="s">
        <v>553</v>
      </c>
      <c r="BG13" s="7" t="s">
        <v>560</v>
      </c>
      <c r="BH13" s="7" t="s">
        <v>493</v>
      </c>
      <c r="BI13" s="7" t="s">
        <v>582</v>
      </c>
      <c r="BJ13" s="7" t="s">
        <v>494</v>
      </c>
      <c r="BK13" s="7" t="s">
        <v>573</v>
      </c>
      <c r="BL13" s="7" t="s">
        <v>495</v>
      </c>
      <c r="BM13" s="7" t="s">
        <v>554</v>
      </c>
      <c r="BN13" s="7" t="s">
        <v>611</v>
      </c>
      <c r="BO13" s="7" t="s">
        <v>561</v>
      </c>
      <c r="BP13" s="7" t="s">
        <v>590</v>
      </c>
      <c r="BQ13" s="7" t="s">
        <v>570</v>
      </c>
      <c r="BR13" s="7" t="s">
        <v>574</v>
      </c>
      <c r="BS13" s="7" t="s">
        <v>595</v>
      </c>
      <c r="BT13" s="7" t="s">
        <v>605</v>
      </c>
      <c r="BU13" s="7" t="s">
        <v>617</v>
      </c>
      <c r="BV13" s="7" t="s">
        <v>617</v>
      </c>
      <c r="BW13" s="7" t="s">
        <v>617</v>
      </c>
    </row>
    <row r="14" spans="1:75" s="91" customFormat="1" ht="12.75">
      <c r="A14" s="131" t="s">
        <v>524</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7"/>
      <c r="AJ14" s="127"/>
      <c r="AK14" s="127"/>
      <c r="AL14" s="127"/>
      <c r="AM14" s="127"/>
      <c r="AN14" s="127"/>
      <c r="AO14" s="127"/>
      <c r="AP14" s="127"/>
      <c r="AQ14" s="127"/>
      <c r="AR14" s="127"/>
      <c r="AS14" s="303"/>
      <c r="AT14" s="127"/>
      <c r="AU14" s="303"/>
      <c r="AV14" s="127"/>
      <c r="AW14" s="303"/>
      <c r="AX14" s="127"/>
      <c r="AY14" s="127"/>
      <c r="AZ14" s="127"/>
      <c r="BA14" s="303"/>
      <c r="BB14" s="303"/>
      <c r="BC14" s="127"/>
      <c r="BD14" s="127"/>
      <c r="BE14" s="382"/>
      <c r="BF14" s="127"/>
      <c r="BG14" s="127"/>
      <c r="BH14" s="127"/>
      <c r="BI14" s="127"/>
      <c r="BJ14" s="127"/>
      <c r="BK14" s="127"/>
      <c r="BL14" s="127"/>
      <c r="BM14" s="127"/>
      <c r="BN14" s="127"/>
      <c r="BO14" s="127"/>
      <c r="BP14" s="127"/>
      <c r="BQ14" s="127"/>
      <c r="BR14" s="127"/>
      <c r="BS14" s="127"/>
      <c r="BT14" s="127"/>
      <c r="BU14" s="127"/>
      <c r="BV14" s="127"/>
      <c r="BW14" s="127"/>
    </row>
    <row r="15" spans="1:75" s="91" customFormat="1" ht="12.75">
      <c r="A15" s="139" t="s">
        <v>518</v>
      </c>
      <c r="B15" s="88"/>
      <c r="C15" s="88"/>
      <c r="D15" s="88"/>
      <c r="E15" s="88"/>
      <c r="F15" s="93"/>
      <c r="G15" s="88"/>
      <c r="H15" s="88"/>
      <c r="I15" s="88"/>
      <c r="J15" s="88"/>
      <c r="K15" s="93"/>
      <c r="L15" s="88"/>
      <c r="M15" s="88"/>
      <c r="N15" s="88"/>
      <c r="O15" s="88"/>
      <c r="P15" s="93"/>
      <c r="Q15" s="88"/>
      <c r="R15" s="88"/>
      <c r="S15" s="88"/>
      <c r="T15" s="88"/>
      <c r="U15" s="93"/>
      <c r="V15" s="88"/>
      <c r="W15" s="88"/>
      <c r="X15" s="88"/>
      <c r="Y15" s="88"/>
      <c r="Z15" s="93"/>
      <c r="AA15" s="88">
        <f>'Spec items - HUF mn'!AA15/211.6</f>
        <v>208.02930056710775</v>
      </c>
      <c r="AB15" s="88">
        <v>196</v>
      </c>
      <c r="AC15" s="88">
        <v>197</v>
      </c>
      <c r="AD15" s="88">
        <f>'Spec items - HUF mn'!AD15/201.9</f>
        <v>140.02476473501733</v>
      </c>
      <c r="AE15" s="93">
        <v>744</v>
      </c>
      <c r="AF15" s="88">
        <v>139</v>
      </c>
      <c r="AG15" s="88">
        <v>164</v>
      </c>
      <c r="AH15" s="88">
        <f>'Spec items - HUF mn'!AH15/183.3</f>
        <v>186.2684124386252</v>
      </c>
      <c r="AI15" s="88">
        <v>161</v>
      </c>
      <c r="AJ15" s="93">
        <v>649</v>
      </c>
      <c r="AK15" s="88">
        <v>179</v>
      </c>
      <c r="AL15" s="88">
        <v>235</v>
      </c>
      <c r="AM15" s="88">
        <v>276</v>
      </c>
      <c r="AN15" s="88">
        <v>256</v>
      </c>
      <c r="AO15" s="93">
        <v>946</v>
      </c>
      <c r="AP15" s="88">
        <v>248</v>
      </c>
      <c r="AQ15" s="88">
        <v>133</v>
      </c>
      <c r="AR15" s="88">
        <v>297</v>
      </c>
      <c r="AS15" s="100">
        <v>615</v>
      </c>
      <c r="AT15" s="88">
        <v>406</v>
      </c>
      <c r="AU15" s="100">
        <v>434</v>
      </c>
      <c r="AV15" s="93">
        <v>1064</v>
      </c>
      <c r="AW15" s="101">
        <v>1049</v>
      </c>
      <c r="AX15" s="88">
        <v>446</v>
      </c>
      <c r="AY15" s="88">
        <v>471</v>
      </c>
      <c r="AZ15" s="88">
        <v>507</v>
      </c>
      <c r="BA15" s="100">
        <v>449</v>
      </c>
      <c r="BB15" s="100">
        <v>1267</v>
      </c>
      <c r="BC15" s="88">
        <v>548</v>
      </c>
      <c r="BD15" s="93">
        <v>1812</v>
      </c>
      <c r="BE15" s="372">
        <v>456</v>
      </c>
      <c r="BF15" s="88">
        <v>460</v>
      </c>
      <c r="BG15" s="88">
        <v>480</v>
      </c>
      <c r="BH15" s="88">
        <v>532</v>
      </c>
      <c r="BI15" s="88">
        <v>532</v>
      </c>
      <c r="BJ15" s="93">
        <v>1926</v>
      </c>
      <c r="BK15" s="93">
        <v>1926</v>
      </c>
      <c r="BL15" s="88">
        <v>586</v>
      </c>
      <c r="BM15" s="88">
        <v>622</v>
      </c>
      <c r="BN15" s="88">
        <v>622</v>
      </c>
      <c r="BO15" s="88">
        <v>623</v>
      </c>
      <c r="BP15" s="88">
        <v>623</v>
      </c>
      <c r="BQ15" s="88">
        <v>579</v>
      </c>
      <c r="BR15" s="93">
        <v>2407</v>
      </c>
      <c r="BS15" s="88">
        <v>490</v>
      </c>
      <c r="BT15" s="88">
        <v>454</v>
      </c>
      <c r="BU15" s="88">
        <v>451</v>
      </c>
      <c r="BV15" s="232">
        <v>454</v>
      </c>
      <c r="BW15" s="473">
        <v>1848</v>
      </c>
    </row>
    <row r="16" spans="1:75" s="91" customFormat="1" ht="12.75">
      <c r="A16" s="139" t="s">
        <v>517</v>
      </c>
      <c r="B16" s="88"/>
      <c r="C16" s="88"/>
      <c r="D16" s="88"/>
      <c r="E16" s="88"/>
      <c r="F16" s="93"/>
      <c r="G16" s="88"/>
      <c r="H16" s="88"/>
      <c r="I16" s="88"/>
      <c r="J16" s="88"/>
      <c r="K16" s="93"/>
      <c r="L16" s="88"/>
      <c r="M16" s="88"/>
      <c r="N16" s="88"/>
      <c r="O16" s="88"/>
      <c r="P16" s="93"/>
      <c r="Q16" s="88"/>
      <c r="R16" s="88"/>
      <c r="S16" s="88"/>
      <c r="T16" s="88"/>
      <c r="U16" s="93"/>
      <c r="V16" s="88"/>
      <c r="W16" s="88"/>
      <c r="X16" s="88"/>
      <c r="Y16" s="88"/>
      <c r="Z16" s="93"/>
      <c r="AA16" s="88">
        <f>'Spec items - HUF mn'!AA16/211.6</f>
        <v>166.41304347826087</v>
      </c>
      <c r="AB16" s="88">
        <v>399</v>
      </c>
      <c r="AC16" s="88">
        <v>345</v>
      </c>
      <c r="AD16" s="88">
        <f>'Spec items - HUF mn'!AD16/201.9</f>
        <v>183.05596830113916</v>
      </c>
      <c r="AE16" s="93">
        <v>1098</v>
      </c>
      <c r="AF16" s="88">
        <v>228</v>
      </c>
      <c r="AG16" s="88">
        <v>405</v>
      </c>
      <c r="AH16" s="88">
        <f>'Spec items - HUF mn'!AH16/183.3</f>
        <v>343.7206764866339</v>
      </c>
      <c r="AI16" s="88">
        <v>308</v>
      </c>
      <c r="AJ16" s="93">
        <v>1279</v>
      </c>
      <c r="AK16" s="88">
        <v>334</v>
      </c>
      <c r="AL16" s="88">
        <v>544</v>
      </c>
      <c r="AM16" s="88">
        <v>146</v>
      </c>
      <c r="AN16" s="88">
        <v>-122</v>
      </c>
      <c r="AO16" s="93">
        <v>830</v>
      </c>
      <c r="AP16" s="88">
        <v>109</v>
      </c>
      <c r="AQ16" s="88">
        <v>300</v>
      </c>
      <c r="AR16" s="88">
        <v>117</v>
      </c>
      <c r="AS16" s="100">
        <v>541</v>
      </c>
      <c r="AT16" s="88">
        <v>60</v>
      </c>
      <c r="AU16" s="100">
        <v>37</v>
      </c>
      <c r="AV16" s="93">
        <v>599</v>
      </c>
      <c r="AW16" s="101">
        <v>578</v>
      </c>
      <c r="AX16" s="88">
        <v>107</v>
      </c>
      <c r="AY16" s="88">
        <v>207</v>
      </c>
      <c r="AZ16" s="88">
        <v>290</v>
      </c>
      <c r="BA16" s="100">
        <v>290</v>
      </c>
      <c r="BB16" s="100">
        <v>615</v>
      </c>
      <c r="BC16" s="88">
        <v>186</v>
      </c>
      <c r="BD16" s="93">
        <v>801</v>
      </c>
      <c r="BE16" s="372">
        <v>126</v>
      </c>
      <c r="BF16" s="88">
        <v>194</v>
      </c>
      <c r="BG16" s="88">
        <v>367</v>
      </c>
      <c r="BH16" s="88">
        <v>146</v>
      </c>
      <c r="BI16" s="88">
        <v>148</v>
      </c>
      <c r="BJ16" s="93">
        <v>848</v>
      </c>
      <c r="BK16" s="93">
        <v>855</v>
      </c>
      <c r="BL16" s="88">
        <v>335</v>
      </c>
      <c r="BM16" s="88">
        <v>245</v>
      </c>
      <c r="BN16" s="88">
        <v>247</v>
      </c>
      <c r="BO16" s="88">
        <v>56</v>
      </c>
      <c r="BP16" s="88">
        <v>60</v>
      </c>
      <c r="BQ16" s="88">
        <v>-24</v>
      </c>
      <c r="BR16" s="93">
        <v>591</v>
      </c>
      <c r="BS16" s="88">
        <v>235</v>
      </c>
      <c r="BT16" s="88">
        <v>-24</v>
      </c>
      <c r="BU16" s="88">
        <v>380</v>
      </c>
      <c r="BV16" s="232">
        <v>161</v>
      </c>
      <c r="BW16" s="473">
        <v>749</v>
      </c>
    </row>
    <row r="17" spans="1:75" s="91" customFormat="1" ht="12.75">
      <c r="A17" s="139" t="s">
        <v>516</v>
      </c>
      <c r="B17" s="88"/>
      <c r="C17" s="88"/>
      <c r="D17" s="88"/>
      <c r="E17" s="88"/>
      <c r="F17" s="93"/>
      <c r="G17" s="88"/>
      <c r="H17" s="88"/>
      <c r="I17" s="88"/>
      <c r="J17" s="88"/>
      <c r="K17" s="93"/>
      <c r="L17" s="88"/>
      <c r="M17" s="88"/>
      <c r="N17" s="88"/>
      <c r="O17" s="88"/>
      <c r="P17" s="93"/>
      <c r="Q17" s="88"/>
      <c r="R17" s="88"/>
      <c r="S17" s="88"/>
      <c r="T17" s="88"/>
      <c r="U17" s="93"/>
      <c r="V17" s="88"/>
      <c r="W17" s="88"/>
      <c r="X17" s="88"/>
      <c r="Y17" s="88"/>
      <c r="Z17" s="93"/>
      <c r="AA17" s="88">
        <f>'Spec items - HUF mn'!AA17/211.6</f>
        <v>62.84499054820416</v>
      </c>
      <c r="AB17" s="88">
        <v>52</v>
      </c>
      <c r="AC17" s="88">
        <v>33</v>
      </c>
      <c r="AD17" s="88">
        <f>'Spec items - HUF mn'!AD17/201.9</f>
        <v>56.93907875185735</v>
      </c>
      <c r="AE17" s="93">
        <v>204</v>
      </c>
      <c r="AF17" s="88">
        <v>76</v>
      </c>
      <c r="AG17" s="88">
        <v>54</v>
      </c>
      <c r="AH17" s="88">
        <f>'Spec items - HUF mn'!AH17/183.3</f>
        <v>55.122749590834694</v>
      </c>
      <c r="AI17" s="88">
        <v>66</v>
      </c>
      <c r="AJ17" s="93">
        <v>251</v>
      </c>
      <c r="AK17" s="88">
        <v>77</v>
      </c>
      <c r="AL17" s="88">
        <v>74</v>
      </c>
      <c r="AM17" s="88">
        <v>70</v>
      </c>
      <c r="AN17" s="88">
        <v>72</v>
      </c>
      <c r="AO17" s="93">
        <v>294</v>
      </c>
      <c r="AP17" s="88">
        <v>93</v>
      </c>
      <c r="AQ17" s="88">
        <v>69</v>
      </c>
      <c r="AR17" s="88">
        <v>105</v>
      </c>
      <c r="AS17" s="100">
        <v>265</v>
      </c>
      <c r="AT17" s="88">
        <v>122</v>
      </c>
      <c r="AU17" s="100">
        <v>119</v>
      </c>
      <c r="AV17" s="93">
        <v>386</v>
      </c>
      <c r="AW17" s="101">
        <v>384</v>
      </c>
      <c r="AX17" s="88">
        <v>155</v>
      </c>
      <c r="AY17" s="88">
        <v>121</v>
      </c>
      <c r="AZ17" s="88">
        <v>62</v>
      </c>
      <c r="BA17" s="100">
        <v>62</v>
      </c>
      <c r="BB17" s="100">
        <v>333</v>
      </c>
      <c r="BC17" s="88">
        <v>86</v>
      </c>
      <c r="BD17" s="93">
        <v>420</v>
      </c>
      <c r="BE17" s="372">
        <v>109</v>
      </c>
      <c r="BF17" s="88">
        <v>104</v>
      </c>
      <c r="BG17" s="88">
        <v>57</v>
      </c>
      <c r="BH17" s="88">
        <v>75</v>
      </c>
      <c r="BI17" s="88">
        <v>75</v>
      </c>
      <c r="BJ17" s="93">
        <v>342</v>
      </c>
      <c r="BK17" s="93">
        <v>345</v>
      </c>
      <c r="BL17" s="88">
        <v>117</v>
      </c>
      <c r="BM17" s="88">
        <v>102</v>
      </c>
      <c r="BN17" s="88">
        <v>102</v>
      </c>
      <c r="BO17" s="88">
        <v>105</v>
      </c>
      <c r="BP17" s="88">
        <v>105</v>
      </c>
      <c r="BQ17" s="88">
        <v>103</v>
      </c>
      <c r="BR17" s="93">
        <v>428</v>
      </c>
      <c r="BS17" s="88">
        <v>79</v>
      </c>
      <c r="BT17" s="88">
        <v>59</v>
      </c>
      <c r="BU17" s="88">
        <v>79</v>
      </c>
      <c r="BV17" s="232">
        <v>42</v>
      </c>
      <c r="BW17" s="473">
        <v>259</v>
      </c>
    </row>
    <row r="18" spans="1:75" s="106" customFormat="1" ht="12.75" hidden="1">
      <c r="A18" s="409" t="s">
        <v>62</v>
      </c>
      <c r="B18" s="408"/>
      <c r="C18" s="408"/>
      <c r="D18" s="408"/>
      <c r="E18" s="408"/>
      <c r="F18" s="108"/>
      <c r="G18" s="408"/>
      <c r="H18" s="408"/>
      <c r="I18" s="408"/>
      <c r="J18" s="408"/>
      <c r="K18" s="108"/>
      <c r="L18" s="408"/>
      <c r="M18" s="408"/>
      <c r="N18" s="408"/>
      <c r="O18" s="408"/>
      <c r="P18" s="108"/>
      <c r="Q18" s="408"/>
      <c r="R18" s="408"/>
      <c r="S18" s="408"/>
      <c r="T18" s="408"/>
      <c r="U18" s="108"/>
      <c r="V18" s="408"/>
      <c r="W18" s="408"/>
      <c r="X18" s="408"/>
      <c r="Y18" s="408"/>
      <c r="Z18" s="108"/>
      <c r="AA18" s="408">
        <f>'Spec items - HUF mn'!AA18/211.6</f>
        <v>38.08601134215501</v>
      </c>
      <c r="AB18" s="408">
        <v>39</v>
      </c>
      <c r="AC18" s="408">
        <v>46</v>
      </c>
      <c r="AD18" s="408">
        <f>'Spec items - HUF mn'!AD18/201.9</f>
        <v>75.27984150569588</v>
      </c>
      <c r="AE18" s="108">
        <v>199</v>
      </c>
      <c r="AF18" s="408">
        <v>90</v>
      </c>
      <c r="AG18" s="408">
        <v>93</v>
      </c>
      <c r="AH18" s="408">
        <f>'Spec items - HUF mn'!AH18/183.3</f>
        <v>91.08019639934533</v>
      </c>
      <c r="AI18" s="408">
        <v>54</v>
      </c>
      <c r="AJ18" s="108">
        <v>328</v>
      </c>
      <c r="AK18" s="408">
        <v>43</v>
      </c>
      <c r="AL18" s="408">
        <v>-52</v>
      </c>
      <c r="AM18" s="408">
        <v>28</v>
      </c>
      <c r="AN18" s="408">
        <v>43</v>
      </c>
      <c r="AO18" s="108">
        <v>71</v>
      </c>
      <c r="AP18" s="408">
        <v>5</v>
      </c>
      <c r="AQ18" s="408">
        <v>-22</v>
      </c>
      <c r="AR18" s="408">
        <v>32</v>
      </c>
      <c r="AS18" s="410">
        <v>11</v>
      </c>
      <c r="AT18" s="408">
        <v>3</v>
      </c>
      <c r="AU18" s="410">
        <v>4</v>
      </c>
      <c r="AV18" s="108">
        <v>15</v>
      </c>
      <c r="AW18" s="308">
        <v>15</v>
      </c>
      <c r="AX18" s="408">
        <v>11</v>
      </c>
      <c r="AY18" s="408">
        <v>28</v>
      </c>
      <c r="AZ18" s="408">
        <v>49</v>
      </c>
      <c r="BA18" s="410">
        <v>49</v>
      </c>
      <c r="BB18" s="410">
        <v>89</v>
      </c>
      <c r="BC18" s="408">
        <v>4</v>
      </c>
      <c r="BD18" s="108">
        <v>93</v>
      </c>
      <c r="BE18" s="407"/>
      <c r="BF18" s="408">
        <v>0</v>
      </c>
      <c r="BG18" s="408">
        <v>0</v>
      </c>
      <c r="BH18" s="408"/>
      <c r="BI18" s="408"/>
      <c r="BJ18" s="108"/>
      <c r="BK18" s="108"/>
      <c r="BL18" s="408"/>
      <c r="BM18" s="408">
        <v>0</v>
      </c>
      <c r="BN18" s="408"/>
      <c r="BO18" s="408">
        <v>0</v>
      </c>
      <c r="BP18" s="408"/>
      <c r="BQ18" s="408"/>
      <c r="BR18" s="108"/>
      <c r="BS18" s="408"/>
      <c r="BT18" s="408"/>
      <c r="BU18" s="408">
        <v>0</v>
      </c>
      <c r="BV18" s="408"/>
      <c r="BW18" s="108"/>
    </row>
    <row r="19" spans="1:75" s="91" customFormat="1" ht="12.75">
      <c r="A19" s="124" t="s">
        <v>195</v>
      </c>
      <c r="B19" s="88"/>
      <c r="C19" s="88"/>
      <c r="D19" s="88"/>
      <c r="E19" s="88"/>
      <c r="F19" s="93"/>
      <c r="G19" s="88"/>
      <c r="H19" s="88"/>
      <c r="I19" s="88"/>
      <c r="J19" s="88"/>
      <c r="K19" s="93"/>
      <c r="L19" s="88"/>
      <c r="M19" s="88"/>
      <c r="N19" s="88"/>
      <c r="O19" s="88"/>
      <c r="P19" s="93"/>
      <c r="Q19" s="88"/>
      <c r="R19" s="88"/>
      <c r="S19" s="88"/>
      <c r="T19" s="88"/>
      <c r="U19" s="93"/>
      <c r="V19" s="88"/>
      <c r="W19" s="88"/>
      <c r="X19" s="88"/>
      <c r="Y19" s="88"/>
      <c r="Z19" s="93"/>
      <c r="AA19" s="88">
        <f>'Spec items - HUF mn'!AA19/211.6</f>
        <v>-42.66540642722117</v>
      </c>
      <c r="AB19" s="88">
        <v>-56</v>
      </c>
      <c r="AC19" s="88">
        <v>-34</v>
      </c>
      <c r="AD19" s="88">
        <f>'Spec items - HUF mn'!AD19/201.9</f>
        <v>-37.43932639920753</v>
      </c>
      <c r="AE19" s="93">
        <v>-170</v>
      </c>
      <c r="AF19" s="88">
        <v>-30</v>
      </c>
      <c r="AG19" s="88">
        <v>-37</v>
      </c>
      <c r="AH19" s="88">
        <f>'Spec items - HUF mn'!AH19/183.3</f>
        <v>-36.38843426077469</v>
      </c>
      <c r="AI19" s="88">
        <v>-2</v>
      </c>
      <c r="AJ19" s="93">
        <v>-106</v>
      </c>
      <c r="AK19" s="88">
        <v>-38</v>
      </c>
      <c r="AL19" s="88">
        <v>-57</v>
      </c>
      <c r="AM19" s="88">
        <v>-37</v>
      </c>
      <c r="AN19" s="88">
        <v>-33</v>
      </c>
      <c r="AO19" s="93">
        <v>-162</v>
      </c>
      <c r="AP19" s="88">
        <v>-12</v>
      </c>
      <c r="AQ19" s="88">
        <v>-82</v>
      </c>
      <c r="AR19" s="88">
        <v>-45</v>
      </c>
      <c r="AS19" s="100">
        <v>-139</v>
      </c>
      <c r="AT19" s="88">
        <v>-83</v>
      </c>
      <c r="AU19" s="100">
        <v>-28</v>
      </c>
      <c r="AV19" s="93">
        <v>-215</v>
      </c>
      <c r="AW19" s="101">
        <v>-167</v>
      </c>
      <c r="AX19" s="88">
        <v>-39</v>
      </c>
      <c r="AY19" s="88">
        <v>-83</v>
      </c>
      <c r="AZ19" s="88">
        <v>-33</v>
      </c>
      <c r="BA19" s="100">
        <v>-33</v>
      </c>
      <c r="BB19" s="100">
        <v>-155</v>
      </c>
      <c r="BC19" s="88">
        <v>-76</v>
      </c>
      <c r="BD19" s="93">
        <v>-230</v>
      </c>
      <c r="BE19" s="372">
        <v>-40</v>
      </c>
      <c r="BF19" s="88">
        <v>-41</v>
      </c>
      <c r="BG19" s="88">
        <v>-56</v>
      </c>
      <c r="BH19" s="88">
        <v>-50</v>
      </c>
      <c r="BI19" s="88">
        <v>-42</v>
      </c>
      <c r="BJ19" s="93">
        <v>-186</v>
      </c>
      <c r="BK19" s="93">
        <v>-158</v>
      </c>
      <c r="BL19" s="88">
        <v>-80</v>
      </c>
      <c r="BM19" s="88">
        <v>-57</v>
      </c>
      <c r="BN19" s="88">
        <v>-52</v>
      </c>
      <c r="BO19" s="88">
        <v>-28</v>
      </c>
      <c r="BP19" s="88">
        <v>-20</v>
      </c>
      <c r="BQ19" s="88">
        <v>-1</v>
      </c>
      <c r="BR19" s="93">
        <v>-147</v>
      </c>
      <c r="BS19" s="88">
        <v>-32</v>
      </c>
      <c r="BT19" s="88">
        <v>-27</v>
      </c>
      <c r="BU19" s="88">
        <v>-24</v>
      </c>
      <c r="BV19" s="232">
        <v>-91</v>
      </c>
      <c r="BW19" s="473">
        <v>-172</v>
      </c>
    </row>
    <row r="20" spans="1:75" s="91" customFormat="1" ht="12.75">
      <c r="A20" s="124" t="s">
        <v>450</v>
      </c>
      <c r="B20" s="88"/>
      <c r="C20" s="88"/>
      <c r="D20" s="88"/>
      <c r="E20" s="88"/>
      <c r="F20" s="93"/>
      <c r="G20" s="88"/>
      <c r="H20" s="88"/>
      <c r="I20" s="88"/>
      <c r="J20" s="88"/>
      <c r="K20" s="93"/>
      <c r="L20" s="88"/>
      <c r="M20" s="88"/>
      <c r="N20" s="88"/>
      <c r="O20" s="88"/>
      <c r="P20" s="93"/>
      <c r="Q20" s="88"/>
      <c r="R20" s="88"/>
      <c r="S20" s="88"/>
      <c r="T20" s="88"/>
      <c r="U20" s="93"/>
      <c r="V20" s="88"/>
      <c r="W20" s="88"/>
      <c r="X20" s="88"/>
      <c r="Y20" s="88"/>
      <c r="Z20" s="93"/>
      <c r="AA20" s="88">
        <f>'Spec items - HUF mn'!AA20/211.6</f>
        <v>26.17202268431002</v>
      </c>
      <c r="AB20" s="88">
        <v>5</v>
      </c>
      <c r="AC20" s="88">
        <v>1</v>
      </c>
      <c r="AD20" s="88">
        <f>'Spec items - HUF mn'!AD20/201.9</f>
        <v>9.25705794947994</v>
      </c>
      <c r="AE20" s="93">
        <v>41</v>
      </c>
      <c r="AF20" s="88">
        <v>-7</v>
      </c>
      <c r="AG20" s="88">
        <v>-10</v>
      </c>
      <c r="AH20" s="88">
        <f>'Spec items - HUF mn'!AH20/183.3</f>
        <v>-3.1423895253682486</v>
      </c>
      <c r="AI20" s="88">
        <v>14</v>
      </c>
      <c r="AJ20" s="93">
        <v>-7</v>
      </c>
      <c r="AK20" s="88">
        <v>-8</v>
      </c>
      <c r="AL20" s="88">
        <v>-7</v>
      </c>
      <c r="AM20" s="88">
        <v>34</v>
      </c>
      <c r="AN20" s="88">
        <v>19</v>
      </c>
      <c r="AO20" s="93">
        <v>37</v>
      </c>
      <c r="AP20" s="88">
        <v>-30</v>
      </c>
      <c r="AQ20" s="88">
        <v>43</v>
      </c>
      <c r="AR20" s="88">
        <v>12</v>
      </c>
      <c r="AS20" s="100">
        <v>22</v>
      </c>
      <c r="AT20" s="88">
        <v>-8</v>
      </c>
      <c r="AU20" s="100">
        <v>-9</v>
      </c>
      <c r="AV20" s="93">
        <v>14</v>
      </c>
      <c r="AW20" s="101">
        <v>13</v>
      </c>
      <c r="AX20" s="88">
        <v>-9</v>
      </c>
      <c r="AY20" s="88">
        <v>-5</v>
      </c>
      <c r="AZ20" s="88">
        <v>8</v>
      </c>
      <c r="BA20" s="100">
        <v>8</v>
      </c>
      <c r="BB20" s="100">
        <v>-3</v>
      </c>
      <c r="BC20" s="88">
        <v>-12</v>
      </c>
      <c r="BD20" s="93">
        <v>-16</v>
      </c>
      <c r="BE20" s="372">
        <v>-18</v>
      </c>
      <c r="BF20" s="88">
        <v>-40</v>
      </c>
      <c r="BG20" s="88">
        <v>-23</v>
      </c>
      <c r="BH20" s="88">
        <v>27</v>
      </c>
      <c r="BI20" s="88">
        <v>27</v>
      </c>
      <c r="BJ20" s="93">
        <v>-55</v>
      </c>
      <c r="BK20" s="93">
        <v>-55</v>
      </c>
      <c r="BL20" s="88">
        <v>-22</v>
      </c>
      <c r="BM20" s="88">
        <v>-26</v>
      </c>
      <c r="BN20" s="88">
        <v>-25</v>
      </c>
      <c r="BO20" s="88">
        <v>-45</v>
      </c>
      <c r="BP20" s="88">
        <v>-45</v>
      </c>
      <c r="BQ20" s="88">
        <v>18</v>
      </c>
      <c r="BR20" s="93">
        <v>-69</v>
      </c>
      <c r="BS20" s="88">
        <v>1</v>
      </c>
      <c r="BT20" s="88">
        <v>-52</v>
      </c>
      <c r="BU20" s="88">
        <v>-56</v>
      </c>
      <c r="BV20" s="232">
        <v>25</v>
      </c>
      <c r="BW20" s="473">
        <v>-84</v>
      </c>
    </row>
    <row r="21" spans="1:75" s="106" customFormat="1" ht="25.5" hidden="1">
      <c r="A21" s="409" t="s">
        <v>414</v>
      </c>
      <c r="B21" s="408"/>
      <c r="C21" s="408"/>
      <c r="D21" s="408"/>
      <c r="E21" s="408"/>
      <c r="F21" s="108"/>
      <c r="G21" s="408"/>
      <c r="H21" s="408"/>
      <c r="I21" s="408"/>
      <c r="J21" s="408"/>
      <c r="K21" s="108"/>
      <c r="L21" s="408"/>
      <c r="M21" s="408"/>
      <c r="N21" s="408"/>
      <c r="O21" s="408"/>
      <c r="P21" s="108"/>
      <c r="Q21" s="408"/>
      <c r="R21" s="408"/>
      <c r="S21" s="408"/>
      <c r="T21" s="408"/>
      <c r="U21" s="108"/>
      <c r="V21" s="408"/>
      <c r="W21" s="408"/>
      <c r="X21" s="408"/>
      <c r="Y21" s="408"/>
      <c r="Z21" s="108"/>
      <c r="AA21" s="408">
        <f aca="true" t="shared" si="2" ref="AA21:AG21">SUM(AA15:AA20)</f>
        <v>458.87996219281666</v>
      </c>
      <c r="AB21" s="408">
        <f t="shared" si="2"/>
        <v>635</v>
      </c>
      <c r="AC21" s="408">
        <f t="shared" si="2"/>
        <v>588</v>
      </c>
      <c r="AD21" s="408">
        <f t="shared" si="2"/>
        <v>427.11738484398217</v>
      </c>
      <c r="AE21" s="108">
        <f t="shared" si="2"/>
        <v>2116</v>
      </c>
      <c r="AF21" s="408">
        <f t="shared" si="2"/>
        <v>496</v>
      </c>
      <c r="AG21" s="408">
        <f t="shared" si="2"/>
        <v>669</v>
      </c>
      <c r="AH21" s="408">
        <f>SUM(AH15:AH20)</f>
        <v>636.6612111292962</v>
      </c>
      <c r="AI21" s="408">
        <f>SUM(AI15:AI20)</f>
        <v>601</v>
      </c>
      <c r="AJ21" s="108">
        <f>SUM(AJ15:AJ20)</f>
        <v>2394</v>
      </c>
      <c r="AK21" s="408">
        <f>SUM(AK15:AK20)</f>
        <v>587</v>
      </c>
      <c r="AL21" s="408">
        <f>SUM(AL15:AL20)</f>
        <v>737</v>
      </c>
      <c r="AM21" s="408">
        <v>517</v>
      </c>
      <c r="AN21" s="408">
        <v>235</v>
      </c>
      <c r="AO21" s="108">
        <v>2016</v>
      </c>
      <c r="AP21" s="408">
        <v>413</v>
      </c>
      <c r="AQ21" s="408">
        <v>441</v>
      </c>
      <c r="AR21" s="408">
        <v>518</v>
      </c>
      <c r="AS21" s="410">
        <v>0</v>
      </c>
      <c r="AT21" s="408">
        <v>500</v>
      </c>
      <c r="AU21" s="410"/>
      <c r="AV21" s="108">
        <v>1863</v>
      </c>
      <c r="AW21" s="308"/>
      <c r="AX21" s="408">
        <v>671</v>
      </c>
      <c r="AY21" s="408">
        <v>739</v>
      </c>
      <c r="AZ21" s="408">
        <v>883</v>
      </c>
      <c r="BA21" s="410"/>
      <c r="BB21" s="410"/>
      <c r="BC21" s="408"/>
      <c r="BD21" s="108"/>
      <c r="BE21" s="407"/>
      <c r="BF21" s="408"/>
      <c r="BG21" s="408"/>
      <c r="BH21" s="408"/>
      <c r="BI21" s="408"/>
      <c r="BJ21" s="108"/>
      <c r="BK21" s="108"/>
      <c r="BL21" s="408"/>
      <c r="BM21" s="408"/>
      <c r="BN21" s="408"/>
      <c r="BO21" s="408"/>
      <c r="BP21" s="408"/>
      <c r="BQ21" s="408"/>
      <c r="BR21" s="108"/>
      <c r="BS21" s="408"/>
      <c r="BT21" s="408"/>
      <c r="BU21" s="408"/>
      <c r="BV21" s="408"/>
      <c r="BW21" s="108"/>
    </row>
    <row r="22" spans="1:75" s="106" customFormat="1" ht="12.75" hidden="1">
      <c r="A22" s="406" t="s">
        <v>415</v>
      </c>
      <c r="B22" s="408"/>
      <c r="C22" s="408"/>
      <c r="D22" s="408"/>
      <c r="E22" s="408"/>
      <c r="F22" s="108"/>
      <c r="G22" s="408"/>
      <c r="H22" s="408"/>
      <c r="I22" s="408"/>
      <c r="J22" s="408"/>
      <c r="K22" s="108"/>
      <c r="L22" s="408"/>
      <c r="M22" s="408"/>
      <c r="N22" s="408"/>
      <c r="O22" s="408"/>
      <c r="P22" s="108"/>
      <c r="Q22" s="408"/>
      <c r="R22" s="408"/>
      <c r="S22" s="408"/>
      <c r="T22" s="408"/>
      <c r="U22" s="108"/>
      <c r="V22" s="408"/>
      <c r="W22" s="408"/>
      <c r="X22" s="408"/>
      <c r="Y22" s="408"/>
      <c r="Z22" s="108"/>
      <c r="AA22" s="408"/>
      <c r="AB22" s="408"/>
      <c r="AC22" s="408"/>
      <c r="AD22" s="408"/>
      <c r="AE22" s="108"/>
      <c r="AF22" s="408"/>
      <c r="AG22" s="408"/>
      <c r="AH22" s="408"/>
      <c r="AI22" s="408"/>
      <c r="AJ22" s="108"/>
      <c r="AK22" s="408"/>
      <c r="AL22" s="408"/>
      <c r="AM22" s="408"/>
      <c r="AN22" s="408"/>
      <c r="AO22" s="108"/>
      <c r="AP22" s="408"/>
      <c r="AQ22" s="408"/>
      <c r="AR22" s="105">
        <v>-44</v>
      </c>
      <c r="AS22" s="411">
        <v>0</v>
      </c>
      <c r="AT22" s="105">
        <v>36</v>
      </c>
      <c r="AU22" s="411"/>
      <c r="AV22" s="108">
        <v>-8</v>
      </c>
      <c r="AW22" s="308"/>
      <c r="AX22" s="408">
        <v>-38</v>
      </c>
      <c r="AY22" s="408">
        <v>-62</v>
      </c>
      <c r="AZ22" s="408">
        <v>-58</v>
      </c>
      <c r="BA22" s="410"/>
      <c r="BB22" s="410"/>
      <c r="BC22" s="408"/>
      <c r="BD22" s="108"/>
      <c r="BE22" s="407"/>
      <c r="BF22" s="408"/>
      <c r="BG22" s="408"/>
      <c r="BH22" s="408"/>
      <c r="BI22" s="408"/>
      <c r="BJ22" s="108"/>
      <c r="BK22" s="108"/>
      <c r="BL22" s="408"/>
      <c r="BM22" s="408"/>
      <c r="BN22" s="408"/>
      <c r="BO22" s="408"/>
      <c r="BP22" s="408"/>
      <c r="BQ22" s="408"/>
      <c r="BR22" s="108"/>
      <c r="BS22" s="408"/>
      <c r="BT22" s="408"/>
      <c r="BU22" s="408"/>
      <c r="BV22" s="408"/>
      <c r="BW22" s="108"/>
    </row>
    <row r="23" spans="1:75" s="91" customFormat="1" ht="12.75">
      <c r="A23" s="104" t="s">
        <v>416</v>
      </c>
      <c r="B23" s="96"/>
      <c r="C23" s="96"/>
      <c r="D23" s="96"/>
      <c r="E23" s="96"/>
      <c r="F23" s="97"/>
      <c r="G23" s="96"/>
      <c r="H23" s="96"/>
      <c r="I23" s="96"/>
      <c r="J23" s="96"/>
      <c r="K23" s="97"/>
      <c r="L23" s="96"/>
      <c r="M23" s="96"/>
      <c r="N23" s="96"/>
      <c r="O23" s="96"/>
      <c r="P23" s="97"/>
      <c r="Q23" s="96"/>
      <c r="R23" s="96"/>
      <c r="S23" s="96"/>
      <c r="T23" s="96"/>
      <c r="U23" s="97"/>
      <c r="V23" s="96"/>
      <c r="W23" s="96"/>
      <c r="X23" s="96"/>
      <c r="Y23" s="96"/>
      <c r="Z23" s="97"/>
      <c r="AA23" s="96"/>
      <c r="AB23" s="96"/>
      <c r="AC23" s="96"/>
      <c r="AD23" s="96"/>
      <c r="AE23" s="97"/>
      <c r="AF23" s="96"/>
      <c r="AG23" s="96"/>
      <c r="AH23" s="96"/>
      <c r="AI23" s="96"/>
      <c r="AJ23" s="97"/>
      <c r="AK23" s="96"/>
      <c r="AL23" s="96"/>
      <c r="AM23" s="96"/>
      <c r="AN23" s="96"/>
      <c r="AO23" s="97"/>
      <c r="AP23" s="96">
        <v>413</v>
      </c>
      <c r="AQ23" s="96">
        <v>441</v>
      </c>
      <c r="AR23" s="96">
        <v>474</v>
      </c>
      <c r="AS23" s="294">
        <v>1315</v>
      </c>
      <c r="AT23" s="96">
        <v>536</v>
      </c>
      <c r="AU23" s="294">
        <v>557</v>
      </c>
      <c r="AV23" s="97">
        <v>1855</v>
      </c>
      <c r="AW23" s="291">
        <v>1872</v>
      </c>
      <c r="AX23" s="96">
        <v>633</v>
      </c>
      <c r="AY23" s="96">
        <v>677</v>
      </c>
      <c r="AZ23" s="96">
        <v>825</v>
      </c>
      <c r="BA23" s="294">
        <v>825</v>
      </c>
      <c r="BB23" s="294">
        <v>2146</v>
      </c>
      <c r="BC23" s="96">
        <v>736</v>
      </c>
      <c r="BD23" s="97">
        <v>2880</v>
      </c>
      <c r="BE23" s="373">
        <v>633</v>
      </c>
      <c r="BF23" s="96">
        <v>677</v>
      </c>
      <c r="BG23" s="96">
        <v>825</v>
      </c>
      <c r="BH23" s="96">
        <v>730</v>
      </c>
      <c r="BI23" s="96">
        <v>740</v>
      </c>
      <c r="BJ23" s="97">
        <v>2875</v>
      </c>
      <c r="BK23" s="97">
        <v>2913</v>
      </c>
      <c r="BL23" s="96">
        <v>936</v>
      </c>
      <c r="BM23" s="96">
        <v>886</v>
      </c>
      <c r="BN23" s="96">
        <v>894</v>
      </c>
      <c r="BO23" s="96">
        <v>711</v>
      </c>
      <c r="BP23" s="96">
        <v>723</v>
      </c>
      <c r="BQ23" s="96">
        <v>675</v>
      </c>
      <c r="BR23" s="97">
        <v>3210</v>
      </c>
      <c r="BS23" s="96">
        <v>773</v>
      </c>
      <c r="BT23" s="96">
        <v>410</v>
      </c>
      <c r="BU23" s="96">
        <v>830</v>
      </c>
      <c r="BV23" s="96">
        <f>SUM(BV15:BV20)</f>
        <v>591</v>
      </c>
      <c r="BW23" s="97">
        <f>SUM(BW15:BW20)</f>
        <v>2600</v>
      </c>
    </row>
    <row r="24" ht="12.75"/>
    <row r="25" ht="12.75">
      <c r="A25" s="3" t="s">
        <v>478</v>
      </c>
    </row>
    <row r="26" ht="12.75">
      <c r="A26" s="3" t="s">
        <v>523</v>
      </c>
    </row>
    <row r="27" spans="1:71" s="3" customFormat="1" ht="12.75">
      <c r="A27" s="3" t="s">
        <v>592</v>
      </c>
      <c r="AS27" s="265"/>
      <c r="AU27" s="265"/>
      <c r="AW27" s="265"/>
      <c r="BA27" s="265"/>
      <c r="BB27" s="265"/>
      <c r="BE27" s="360"/>
      <c r="BL27" s="171"/>
      <c r="BM27" s="171"/>
      <c r="BN27" s="171"/>
      <c r="BO27" s="171"/>
      <c r="BP27" s="171"/>
      <c r="BQ27" s="171"/>
      <c r="BR27" s="171"/>
      <c r="BS27" s="171"/>
    </row>
    <row r="28" spans="45:71" s="3" customFormat="1" ht="12.75">
      <c r="AS28" s="265"/>
      <c r="AU28" s="265"/>
      <c r="AW28" s="265"/>
      <c r="BA28" s="265"/>
      <c r="BB28" s="265"/>
      <c r="BE28" s="360"/>
      <c r="BL28" s="171"/>
      <c r="BM28" s="171"/>
      <c r="BN28" s="171"/>
      <c r="BO28" s="171"/>
      <c r="BP28" s="171"/>
      <c r="BQ28" s="171"/>
      <c r="BR28" s="171"/>
      <c r="BS28" s="171"/>
    </row>
    <row r="29" spans="1:71" s="91" customFormat="1" ht="38.25">
      <c r="A29" s="180" t="s">
        <v>324</v>
      </c>
      <c r="B29" s="181" t="s">
        <v>2</v>
      </c>
      <c r="C29" s="181" t="s">
        <v>3</v>
      </c>
      <c r="D29" s="181" t="s">
        <v>4</v>
      </c>
      <c r="E29" s="181" t="s">
        <v>5</v>
      </c>
      <c r="F29" s="181" t="s">
        <v>6</v>
      </c>
      <c r="G29" s="181" t="s">
        <v>12</v>
      </c>
      <c r="H29" s="181" t="s">
        <v>13</v>
      </c>
      <c r="I29" s="181" t="s">
        <v>14</v>
      </c>
      <c r="J29" s="181" t="s">
        <v>15</v>
      </c>
      <c r="K29" s="181" t="s">
        <v>16</v>
      </c>
      <c r="L29" s="181" t="s">
        <v>17</v>
      </c>
      <c r="M29" s="181" t="s">
        <v>18</v>
      </c>
      <c r="N29" s="181" t="s">
        <v>19</v>
      </c>
      <c r="O29" s="181" t="s">
        <v>20</v>
      </c>
      <c r="P29" s="181" t="s">
        <v>21</v>
      </c>
      <c r="Q29" s="181" t="s">
        <v>22</v>
      </c>
      <c r="R29" s="181" t="s">
        <v>23</v>
      </c>
      <c r="S29" s="181" t="s">
        <v>24</v>
      </c>
      <c r="T29" s="181" t="s">
        <v>25</v>
      </c>
      <c r="U29" s="181" t="s">
        <v>26</v>
      </c>
      <c r="V29" s="181" t="s">
        <v>27</v>
      </c>
      <c r="W29" s="181" t="s">
        <v>28</v>
      </c>
      <c r="X29" s="181" t="s">
        <v>29</v>
      </c>
      <c r="Y29" s="181" t="s">
        <v>30</v>
      </c>
      <c r="Z29" s="181" t="s">
        <v>31</v>
      </c>
      <c r="AA29" s="181" t="s">
        <v>32</v>
      </c>
      <c r="AB29" s="181" t="s">
        <v>33</v>
      </c>
      <c r="AC29" s="181" t="s">
        <v>34</v>
      </c>
      <c r="AD29" s="181" t="s">
        <v>271</v>
      </c>
      <c r="AE29" s="181" t="s">
        <v>272</v>
      </c>
      <c r="AF29" s="181" t="s">
        <v>274</v>
      </c>
      <c r="AG29" s="181" t="s">
        <v>276</v>
      </c>
      <c r="AH29" s="181" t="s">
        <v>278</v>
      </c>
      <c r="AI29" s="188" t="s">
        <v>280</v>
      </c>
      <c r="AJ29" s="188" t="s">
        <v>281</v>
      </c>
      <c r="AK29" s="188" t="s">
        <v>289</v>
      </c>
      <c r="AL29" s="188" t="s">
        <v>290</v>
      </c>
      <c r="AM29" s="188" t="s">
        <v>291</v>
      </c>
      <c r="AN29" s="188" t="s">
        <v>292</v>
      </c>
      <c r="AO29" s="188" t="s">
        <v>293</v>
      </c>
      <c r="AP29" s="188" t="s">
        <v>329</v>
      </c>
      <c r="AQ29" s="188" t="s">
        <v>330</v>
      </c>
      <c r="AR29" s="188" t="s">
        <v>331</v>
      </c>
      <c r="AS29" s="306" t="s">
        <v>490</v>
      </c>
      <c r="AT29" s="188" t="s">
        <v>332</v>
      </c>
      <c r="AU29" s="317" t="s">
        <v>477</v>
      </c>
      <c r="AV29" s="188" t="s">
        <v>333</v>
      </c>
      <c r="AW29" s="306" t="s">
        <v>460</v>
      </c>
      <c r="AX29" s="188" t="s">
        <v>448</v>
      </c>
      <c r="AY29" s="188" t="s">
        <v>451</v>
      </c>
      <c r="AZ29" s="188" t="s">
        <v>453</v>
      </c>
      <c r="BA29" s="306"/>
      <c r="BB29" s="317" t="s">
        <v>491</v>
      </c>
      <c r="BC29" s="188" t="s">
        <v>454</v>
      </c>
      <c r="BD29" s="188" t="s">
        <v>454</v>
      </c>
      <c r="BE29" s="387"/>
      <c r="BF29" s="226"/>
      <c r="BG29" s="226"/>
      <c r="BH29" s="226"/>
      <c r="BI29" s="226"/>
      <c r="BJ29" s="226"/>
      <c r="BK29" s="226"/>
      <c r="BL29" s="226"/>
      <c r="BM29" s="226"/>
      <c r="BN29" s="226"/>
      <c r="BO29" s="226"/>
      <c r="BP29" s="226"/>
      <c r="BQ29" s="226"/>
      <c r="BR29" s="226"/>
      <c r="BS29" s="226"/>
    </row>
    <row r="30" spans="1:71" s="91" customFormat="1" ht="12.75">
      <c r="A30" s="125" t="s">
        <v>344</v>
      </c>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7"/>
      <c r="AJ30" s="127"/>
      <c r="AK30" s="127"/>
      <c r="AL30" s="127"/>
      <c r="AM30" s="127"/>
      <c r="AN30" s="127"/>
      <c r="AO30" s="127"/>
      <c r="AP30" s="127"/>
      <c r="AQ30" s="127"/>
      <c r="AR30" s="127"/>
      <c r="AS30" s="303"/>
      <c r="AT30" s="127"/>
      <c r="AU30" s="303"/>
      <c r="AV30" s="127"/>
      <c r="AW30" s="303"/>
      <c r="AX30" s="127"/>
      <c r="AY30" s="127"/>
      <c r="AZ30" s="127"/>
      <c r="BA30" s="303"/>
      <c r="BB30" s="303"/>
      <c r="BC30" s="127"/>
      <c r="BD30" s="127"/>
      <c r="BE30" s="388"/>
      <c r="BF30" s="329"/>
      <c r="BG30" s="329"/>
      <c r="BH30" s="329"/>
      <c r="BI30" s="329"/>
      <c r="BJ30" s="329"/>
      <c r="BK30" s="329"/>
      <c r="BL30" s="329"/>
      <c r="BM30" s="329"/>
      <c r="BN30" s="329"/>
      <c r="BO30" s="329"/>
      <c r="BP30" s="329"/>
      <c r="BQ30" s="329"/>
      <c r="BR30" s="329"/>
      <c r="BS30" s="329"/>
    </row>
    <row r="31" spans="1:71" s="91" customFormat="1" ht="12.75">
      <c r="A31" s="183" t="s">
        <v>192</v>
      </c>
      <c r="B31" s="88"/>
      <c r="C31" s="88"/>
      <c r="D31" s="88"/>
      <c r="E31" s="88"/>
      <c r="F31" s="204"/>
      <c r="G31" s="88"/>
      <c r="H31" s="88"/>
      <c r="I31" s="88"/>
      <c r="J31" s="88"/>
      <c r="K31" s="204"/>
      <c r="L31" s="88"/>
      <c r="M31" s="88"/>
      <c r="N31" s="88"/>
      <c r="O31" s="88"/>
      <c r="P31" s="204"/>
      <c r="Q31" s="88"/>
      <c r="R31" s="88"/>
      <c r="S31" s="88"/>
      <c r="T31" s="88"/>
      <c r="U31" s="204"/>
      <c r="V31" s="88"/>
      <c r="W31" s="88"/>
      <c r="X31" s="88"/>
      <c r="Y31" s="88"/>
      <c r="Z31" s="204"/>
      <c r="AA31" s="88">
        <f>'Spec items - HUF mn'!AA31/211.6</f>
        <v>173.39319470699434</v>
      </c>
      <c r="AB31" s="88">
        <v>153</v>
      </c>
      <c r="AC31" s="88">
        <v>161</v>
      </c>
      <c r="AD31" s="88">
        <f>'Spec items - HUF mn'!AD31/201.9</f>
        <v>81.1441307578009</v>
      </c>
      <c r="AE31" s="204">
        <v>572</v>
      </c>
      <c r="AF31" s="88">
        <v>88</v>
      </c>
      <c r="AG31" s="88">
        <v>128</v>
      </c>
      <c r="AH31" s="88">
        <f>'Spec items - HUF mn'!AH31/183.3</f>
        <v>109.84724495362792</v>
      </c>
      <c r="AI31" s="88">
        <v>104</v>
      </c>
      <c r="AJ31" s="204">
        <v>429</v>
      </c>
      <c r="AK31" s="88">
        <v>138</v>
      </c>
      <c r="AL31" s="88">
        <v>193</v>
      </c>
      <c r="AM31" s="88">
        <v>209</v>
      </c>
      <c r="AN31" s="88">
        <v>193</v>
      </c>
      <c r="AO31" s="204">
        <v>732</v>
      </c>
      <c r="AP31" s="88">
        <v>203</v>
      </c>
      <c r="AQ31" s="88">
        <v>72</v>
      </c>
      <c r="AR31" s="88">
        <v>97</v>
      </c>
      <c r="AS31" s="100">
        <v>378</v>
      </c>
      <c r="AT31" s="88">
        <v>159</v>
      </c>
      <c r="AU31" s="100">
        <v>159</v>
      </c>
      <c r="AV31" s="204">
        <v>538</v>
      </c>
      <c r="AW31" s="309">
        <v>537</v>
      </c>
      <c r="AX31" s="88">
        <v>121</v>
      </c>
      <c r="AY31" s="88">
        <v>137</v>
      </c>
      <c r="AZ31" s="88">
        <v>162</v>
      </c>
      <c r="BA31" s="100"/>
      <c r="BB31" s="100">
        <v>423</v>
      </c>
      <c r="BC31" s="88">
        <v>208</v>
      </c>
      <c r="BD31" s="204">
        <v>629</v>
      </c>
      <c r="BE31" s="380"/>
      <c r="BF31" s="330"/>
      <c r="BG31" s="330"/>
      <c r="BH31" s="330"/>
      <c r="BI31" s="330"/>
      <c r="BJ31" s="330"/>
      <c r="BK31" s="330"/>
      <c r="BL31" s="330"/>
      <c r="BM31" s="330"/>
      <c r="BN31" s="330"/>
      <c r="BO31" s="330"/>
      <c r="BP31" s="330"/>
      <c r="BQ31" s="330"/>
      <c r="BR31" s="330"/>
      <c r="BS31" s="330"/>
    </row>
    <row r="32" spans="1:71" s="91" customFormat="1" ht="12.75">
      <c r="A32" s="183" t="s">
        <v>193</v>
      </c>
      <c r="B32" s="88"/>
      <c r="C32" s="88"/>
      <c r="D32" s="88"/>
      <c r="E32" s="88"/>
      <c r="F32" s="204"/>
      <c r="G32" s="88"/>
      <c r="H32" s="88"/>
      <c r="I32" s="88"/>
      <c r="J32" s="88"/>
      <c r="K32" s="204"/>
      <c r="L32" s="88"/>
      <c r="M32" s="88"/>
      <c r="N32" s="88"/>
      <c r="O32" s="88"/>
      <c r="P32" s="204"/>
      <c r="Q32" s="88"/>
      <c r="R32" s="88"/>
      <c r="S32" s="88"/>
      <c r="T32" s="88"/>
      <c r="U32" s="204"/>
      <c r="V32" s="88"/>
      <c r="W32" s="88"/>
      <c r="X32" s="88"/>
      <c r="Y32" s="88"/>
      <c r="Z32" s="204"/>
      <c r="AA32" s="88">
        <f>'Spec items - HUF mn'!AA32/211.6</f>
        <v>91.45557655954632</v>
      </c>
      <c r="AB32" s="88">
        <v>326</v>
      </c>
      <c r="AC32" s="88">
        <v>272</v>
      </c>
      <c r="AD32" s="88">
        <f>'Spec items - HUF mn'!AD32/201.9</f>
        <v>108.46953937592868</v>
      </c>
      <c r="AE32" s="204">
        <v>803</v>
      </c>
      <c r="AF32" s="88">
        <v>147</v>
      </c>
      <c r="AG32" s="88">
        <v>318</v>
      </c>
      <c r="AH32" s="88">
        <f>'Spec items - HUF mn'!AH32/183.3</f>
        <v>257.61047463175123</v>
      </c>
      <c r="AI32" s="88">
        <v>217</v>
      </c>
      <c r="AJ32" s="204">
        <v>935</v>
      </c>
      <c r="AK32" s="88">
        <v>232</v>
      </c>
      <c r="AL32" s="88">
        <v>435</v>
      </c>
      <c r="AM32" s="88">
        <v>29</v>
      </c>
      <c r="AN32" s="88">
        <v>-229</v>
      </c>
      <c r="AO32" s="204">
        <v>396</v>
      </c>
      <c r="AP32" s="88">
        <v>21</v>
      </c>
      <c r="AQ32" s="88">
        <v>196</v>
      </c>
      <c r="AR32" s="88">
        <v>29</v>
      </c>
      <c r="AS32" s="100">
        <v>256</v>
      </c>
      <c r="AT32" s="88">
        <v>-14</v>
      </c>
      <c r="AU32" s="100">
        <v>-20</v>
      </c>
      <c r="AV32" s="204">
        <v>241</v>
      </c>
      <c r="AW32" s="309">
        <v>236</v>
      </c>
      <c r="AX32" s="88">
        <v>47</v>
      </c>
      <c r="AY32" s="88">
        <v>99</v>
      </c>
      <c r="AZ32" s="88">
        <v>191</v>
      </c>
      <c r="BA32" s="100"/>
      <c r="BB32" s="100">
        <v>345</v>
      </c>
      <c r="BC32" s="88">
        <v>74</v>
      </c>
      <c r="BD32" s="204">
        <v>420</v>
      </c>
      <c r="BE32" s="380"/>
      <c r="BF32" s="330"/>
      <c r="BG32" s="330"/>
      <c r="BH32" s="330"/>
      <c r="BI32" s="330"/>
      <c r="BJ32" s="330"/>
      <c r="BK32" s="330"/>
      <c r="BL32" s="330"/>
      <c r="BM32" s="330"/>
      <c r="BN32" s="330"/>
      <c r="BO32" s="330"/>
      <c r="BP32" s="330"/>
      <c r="BQ32" s="330"/>
      <c r="BR32" s="330"/>
      <c r="BS32" s="330"/>
    </row>
    <row r="33" spans="1:71" s="91" customFormat="1" ht="12.75">
      <c r="A33" s="183" t="s">
        <v>436</v>
      </c>
      <c r="B33" s="88"/>
      <c r="C33" s="88"/>
      <c r="D33" s="88"/>
      <c r="E33" s="88"/>
      <c r="F33" s="204"/>
      <c r="G33" s="88"/>
      <c r="H33" s="88"/>
      <c r="I33" s="88"/>
      <c r="J33" s="88"/>
      <c r="K33" s="204"/>
      <c r="L33" s="88"/>
      <c r="M33" s="88"/>
      <c r="N33" s="88"/>
      <c r="O33" s="88"/>
      <c r="P33" s="204"/>
      <c r="Q33" s="88"/>
      <c r="R33" s="88"/>
      <c r="S33" s="88"/>
      <c r="T33" s="88"/>
      <c r="U33" s="204"/>
      <c r="V33" s="88"/>
      <c r="W33" s="88"/>
      <c r="X33" s="88"/>
      <c r="Y33" s="88"/>
      <c r="Z33" s="204"/>
      <c r="AA33" s="88">
        <f>'Spec items - HUF mn'!AA33/211.6</f>
        <v>53.544423440453684</v>
      </c>
      <c r="AB33" s="88">
        <v>46</v>
      </c>
      <c r="AC33" s="88">
        <v>25</v>
      </c>
      <c r="AD33" s="88">
        <f>'Spec items - HUF mn'!AD33/201.9</f>
        <v>47.99405646359584</v>
      </c>
      <c r="AE33" s="204">
        <v>172</v>
      </c>
      <c r="AF33" s="88">
        <v>67</v>
      </c>
      <c r="AG33" s="88">
        <v>45</v>
      </c>
      <c r="AH33" s="88">
        <f>'Spec items - HUF mn'!AH33/183.3</f>
        <v>45.810147299509</v>
      </c>
      <c r="AI33" s="88">
        <v>53</v>
      </c>
      <c r="AJ33" s="204">
        <v>211</v>
      </c>
      <c r="AK33" s="88">
        <v>65</v>
      </c>
      <c r="AL33" s="88">
        <v>60</v>
      </c>
      <c r="AM33" s="88">
        <v>54</v>
      </c>
      <c r="AN33" s="88">
        <v>57</v>
      </c>
      <c r="AO33" s="204">
        <v>236</v>
      </c>
      <c r="AP33" s="88">
        <v>82</v>
      </c>
      <c r="AQ33" s="88">
        <v>57</v>
      </c>
      <c r="AR33" s="88">
        <v>90</v>
      </c>
      <c r="AS33" s="100">
        <v>222</v>
      </c>
      <c r="AT33" s="88">
        <v>94</v>
      </c>
      <c r="AU33" s="100">
        <v>84</v>
      </c>
      <c r="AV33" s="204">
        <v>322</v>
      </c>
      <c r="AW33" s="309">
        <v>306</v>
      </c>
      <c r="AX33" s="88">
        <v>130</v>
      </c>
      <c r="AY33" s="88">
        <v>96</v>
      </c>
      <c r="AZ33" s="88">
        <v>40</v>
      </c>
      <c r="BA33" s="100"/>
      <c r="BB33" s="100">
        <v>261</v>
      </c>
      <c r="BC33" s="88">
        <v>64</v>
      </c>
      <c r="BD33" s="204">
        <v>325</v>
      </c>
      <c r="BE33" s="380"/>
      <c r="BF33" s="330"/>
      <c r="BG33" s="330"/>
      <c r="BH33" s="330"/>
      <c r="BI33" s="330"/>
      <c r="BJ33" s="330"/>
      <c r="BK33" s="330"/>
      <c r="BL33" s="330"/>
      <c r="BM33" s="330"/>
      <c r="BN33" s="330"/>
      <c r="BO33" s="330"/>
      <c r="BP33" s="330"/>
      <c r="BQ33" s="330"/>
      <c r="BR33" s="330"/>
      <c r="BS33" s="330"/>
    </row>
    <row r="34" spans="1:71" s="91" customFormat="1" ht="12.75">
      <c r="A34" s="183" t="s">
        <v>62</v>
      </c>
      <c r="B34" s="88"/>
      <c r="C34" s="88"/>
      <c r="D34" s="88"/>
      <c r="E34" s="88"/>
      <c r="F34" s="204"/>
      <c r="G34" s="88"/>
      <c r="H34" s="88"/>
      <c r="I34" s="88"/>
      <c r="J34" s="88"/>
      <c r="K34" s="204"/>
      <c r="L34" s="88"/>
      <c r="M34" s="88"/>
      <c r="N34" s="88"/>
      <c r="O34" s="88"/>
      <c r="P34" s="204"/>
      <c r="Q34" s="88"/>
      <c r="R34" s="88"/>
      <c r="S34" s="88"/>
      <c r="T34" s="88"/>
      <c r="U34" s="204"/>
      <c r="V34" s="88"/>
      <c r="W34" s="88"/>
      <c r="X34" s="88"/>
      <c r="Y34" s="88"/>
      <c r="Z34" s="204"/>
      <c r="AA34" s="88">
        <f>'Spec items - HUF mn'!AA34/211.6</f>
        <v>17.254253308128543</v>
      </c>
      <c r="AB34" s="88">
        <v>18</v>
      </c>
      <c r="AC34" s="88">
        <v>25</v>
      </c>
      <c r="AD34" s="88">
        <f>'Spec items - HUF mn'!AD34/201.9</f>
        <v>50.777612679544326</v>
      </c>
      <c r="AE34" s="204">
        <v>111</v>
      </c>
      <c r="AF34" s="88">
        <v>66</v>
      </c>
      <c r="AG34" s="88">
        <v>66</v>
      </c>
      <c r="AH34" s="88">
        <f>'Spec items - HUF mn'!AH34/183.3</f>
        <v>65.13911620294598</v>
      </c>
      <c r="AI34" s="88">
        <v>24</v>
      </c>
      <c r="AJ34" s="204">
        <v>222</v>
      </c>
      <c r="AK34" s="88">
        <v>15</v>
      </c>
      <c r="AL34" s="88">
        <v>-87</v>
      </c>
      <c r="AM34" s="88">
        <v>-1</v>
      </c>
      <c r="AN34" s="88">
        <v>19</v>
      </c>
      <c r="AO34" s="204">
        <v>-44</v>
      </c>
      <c r="AP34" s="88">
        <v>-16</v>
      </c>
      <c r="AQ34" s="88">
        <v>-44</v>
      </c>
      <c r="AR34" s="88">
        <v>7</v>
      </c>
      <c r="AS34" s="100">
        <v>-56</v>
      </c>
      <c r="AT34" s="88">
        <v>-20</v>
      </c>
      <c r="AU34" s="100">
        <v>-19</v>
      </c>
      <c r="AV34" s="204">
        <v>-75</v>
      </c>
      <c r="AW34" s="309">
        <v>-75</v>
      </c>
      <c r="AX34" s="88">
        <v>-11</v>
      </c>
      <c r="AY34" s="88">
        <v>7</v>
      </c>
      <c r="AZ34" s="88">
        <v>28</v>
      </c>
      <c r="BA34" s="100"/>
      <c r="BB34" s="100">
        <v>26</v>
      </c>
      <c r="BC34" s="88">
        <v>-19</v>
      </c>
      <c r="BD34" s="204">
        <v>7</v>
      </c>
      <c r="BE34" s="380"/>
      <c r="BF34" s="330"/>
      <c r="BG34" s="330"/>
      <c r="BH34" s="330"/>
      <c r="BI34" s="330"/>
      <c r="BJ34" s="330"/>
      <c r="BK34" s="330"/>
      <c r="BL34" s="330"/>
      <c r="BM34" s="330"/>
      <c r="BN34" s="330"/>
      <c r="BO34" s="330"/>
      <c r="BP34" s="330"/>
      <c r="BQ34" s="330"/>
      <c r="BR34" s="330"/>
      <c r="BS34" s="330"/>
    </row>
    <row r="35" spans="1:71" s="91" customFormat="1" ht="12.75">
      <c r="A35" s="183" t="s">
        <v>195</v>
      </c>
      <c r="B35" s="88"/>
      <c r="C35" s="88"/>
      <c r="D35" s="88"/>
      <c r="E35" s="88"/>
      <c r="F35" s="204"/>
      <c r="G35" s="88"/>
      <c r="H35" s="88"/>
      <c r="I35" s="88"/>
      <c r="J35" s="88"/>
      <c r="K35" s="204"/>
      <c r="L35" s="88"/>
      <c r="M35" s="88"/>
      <c r="N35" s="88"/>
      <c r="O35" s="88"/>
      <c r="P35" s="204"/>
      <c r="Q35" s="88"/>
      <c r="R35" s="88"/>
      <c r="S35" s="88"/>
      <c r="T35" s="88"/>
      <c r="U35" s="204"/>
      <c r="V35" s="88"/>
      <c r="W35" s="88"/>
      <c r="X35" s="88"/>
      <c r="Y35" s="88"/>
      <c r="Z35" s="204"/>
      <c r="AA35" s="88">
        <f>'Spec items - HUF mn'!AA35/211.6</f>
        <v>-52.36767485822306</v>
      </c>
      <c r="AB35" s="88">
        <v>-66</v>
      </c>
      <c r="AC35" s="88">
        <v>-46</v>
      </c>
      <c r="AD35" s="88">
        <f>'Spec items - HUF mn'!AD35/201.9</f>
        <v>-50.00495294700347</v>
      </c>
      <c r="AE35" s="204">
        <v>-214</v>
      </c>
      <c r="AF35" s="88">
        <v>-43</v>
      </c>
      <c r="AG35" s="88">
        <v>-52</v>
      </c>
      <c r="AH35" s="88">
        <f>'Spec items - HUF mn'!AH35/183.3</f>
        <v>-50.36552100381887</v>
      </c>
      <c r="AI35" s="88">
        <v>-15</v>
      </c>
      <c r="AJ35" s="204">
        <v>-161</v>
      </c>
      <c r="AK35" s="88">
        <v>-53</v>
      </c>
      <c r="AL35" s="88">
        <v>-73</v>
      </c>
      <c r="AM35" s="88">
        <v>-54</v>
      </c>
      <c r="AN35" s="88">
        <v>-49</v>
      </c>
      <c r="AO35" s="204">
        <v>-226</v>
      </c>
      <c r="AP35" s="88">
        <v>-24</v>
      </c>
      <c r="AQ35" s="88">
        <v>-97</v>
      </c>
      <c r="AR35" s="88">
        <v>-43</v>
      </c>
      <c r="AS35" s="100">
        <v>-165</v>
      </c>
      <c r="AT35" s="88">
        <v>-68</v>
      </c>
      <c r="AU35" s="100">
        <v>-40</v>
      </c>
      <c r="AV35" s="204">
        <v>-230</v>
      </c>
      <c r="AW35" s="309">
        <v>-205</v>
      </c>
      <c r="AX35" s="88">
        <v>-24</v>
      </c>
      <c r="AY35" s="88">
        <v>9</v>
      </c>
      <c r="AZ35" s="88">
        <v>-67</v>
      </c>
      <c r="BA35" s="100"/>
      <c r="BB35" s="100">
        <v>-83</v>
      </c>
      <c r="BC35" s="88">
        <v>-35</v>
      </c>
      <c r="BD35" s="204">
        <v>-117</v>
      </c>
      <c r="BE35" s="380"/>
      <c r="BF35" s="330"/>
      <c r="BG35" s="330"/>
      <c r="BH35" s="330"/>
      <c r="BI35" s="330"/>
      <c r="BJ35" s="330"/>
      <c r="BK35" s="330"/>
      <c r="BL35" s="330"/>
      <c r="BM35" s="330"/>
      <c r="BN35" s="330"/>
      <c r="BO35" s="330"/>
      <c r="BP35" s="330"/>
      <c r="BQ35" s="330"/>
      <c r="BR35" s="330"/>
      <c r="BS35" s="330"/>
    </row>
    <row r="36" spans="1:71" s="91" customFormat="1" ht="14.25">
      <c r="A36" s="183" t="s">
        <v>319</v>
      </c>
      <c r="B36" s="88"/>
      <c r="C36" s="88"/>
      <c r="D36" s="88"/>
      <c r="E36" s="88"/>
      <c r="F36" s="204"/>
      <c r="G36" s="88"/>
      <c r="H36" s="88"/>
      <c r="I36" s="88"/>
      <c r="J36" s="88"/>
      <c r="K36" s="204"/>
      <c r="L36" s="88"/>
      <c r="M36" s="88"/>
      <c r="N36" s="88"/>
      <c r="O36" s="88"/>
      <c r="P36" s="204"/>
      <c r="Q36" s="88"/>
      <c r="R36" s="88"/>
      <c r="S36" s="88"/>
      <c r="T36" s="88"/>
      <c r="U36" s="204"/>
      <c r="V36" s="88"/>
      <c r="W36" s="88"/>
      <c r="X36" s="88"/>
      <c r="Y36" s="88"/>
      <c r="Z36" s="204"/>
      <c r="AA36" s="88">
        <f>'Spec items - HUF mn'!AA36/211.6</f>
        <v>26.17202268431002</v>
      </c>
      <c r="AB36" s="88">
        <v>5</v>
      </c>
      <c r="AC36" s="88">
        <v>1</v>
      </c>
      <c r="AD36" s="88">
        <f>'Spec items - HUF mn'!AD36/201.9</f>
        <v>9.25705794947994</v>
      </c>
      <c r="AE36" s="204">
        <v>41</v>
      </c>
      <c r="AF36" s="88">
        <v>-7</v>
      </c>
      <c r="AG36" s="88">
        <v>-11</v>
      </c>
      <c r="AH36" s="88">
        <f>'Spec items - HUF mn'!AH36/183.3</f>
        <v>-3.1423895253682486</v>
      </c>
      <c r="AI36" s="88">
        <v>14</v>
      </c>
      <c r="AJ36" s="204">
        <v>-7</v>
      </c>
      <c r="AK36" s="88">
        <v>-8</v>
      </c>
      <c r="AL36" s="88">
        <v>-7</v>
      </c>
      <c r="AM36" s="88">
        <v>34</v>
      </c>
      <c r="AN36" s="88">
        <v>19</v>
      </c>
      <c r="AO36" s="204">
        <v>37</v>
      </c>
      <c r="AP36" s="88">
        <v>-30</v>
      </c>
      <c r="AQ36" s="88">
        <v>43</v>
      </c>
      <c r="AR36" s="88">
        <v>12</v>
      </c>
      <c r="AS36" s="100">
        <v>29</v>
      </c>
      <c r="AT36" s="88">
        <v>-9</v>
      </c>
      <c r="AU36" s="100">
        <v>-2</v>
      </c>
      <c r="AV36" s="204">
        <v>14</v>
      </c>
      <c r="AW36" s="309">
        <v>27</v>
      </c>
      <c r="AX36" s="88">
        <v>-5</v>
      </c>
      <c r="AY36" s="88">
        <v>4</v>
      </c>
      <c r="AZ36" s="88">
        <v>10</v>
      </c>
      <c r="BA36" s="100"/>
      <c r="BB36" s="100">
        <v>11</v>
      </c>
      <c r="BC36" s="88">
        <v>-9</v>
      </c>
      <c r="BD36" s="204">
        <v>2</v>
      </c>
      <c r="BE36" s="380"/>
      <c r="BF36" s="330"/>
      <c r="BG36" s="330"/>
      <c r="BH36" s="330"/>
      <c r="BI36" s="330"/>
      <c r="BJ36" s="330"/>
      <c r="BK36" s="330"/>
      <c r="BL36" s="330"/>
      <c r="BM36" s="330"/>
      <c r="BN36" s="330"/>
      <c r="BO36" s="330"/>
      <c r="BP36" s="330"/>
      <c r="BQ36" s="330"/>
      <c r="BR36" s="330"/>
      <c r="BS36" s="330"/>
    </row>
    <row r="37" spans="1:71" s="91" customFormat="1" ht="12.75">
      <c r="A37" s="185" t="s">
        <v>205</v>
      </c>
      <c r="B37" s="96"/>
      <c r="C37" s="96"/>
      <c r="D37" s="96"/>
      <c r="E37" s="96"/>
      <c r="F37" s="205"/>
      <c r="G37" s="96"/>
      <c r="H37" s="96"/>
      <c r="I37" s="96"/>
      <c r="J37" s="96"/>
      <c r="K37" s="205"/>
      <c r="L37" s="96"/>
      <c r="M37" s="96"/>
      <c r="N37" s="96"/>
      <c r="O37" s="96"/>
      <c r="P37" s="205"/>
      <c r="Q37" s="96"/>
      <c r="R37" s="96"/>
      <c r="S37" s="96"/>
      <c r="T37" s="96"/>
      <c r="U37" s="205"/>
      <c r="V37" s="96"/>
      <c r="W37" s="96"/>
      <c r="X37" s="96"/>
      <c r="Y37" s="96"/>
      <c r="Z37" s="205"/>
      <c r="AA37" s="96">
        <f aca="true" t="shared" si="3" ref="AA37:AL37">SUM(AA31:AA36)</f>
        <v>309.4517958412099</v>
      </c>
      <c r="AB37" s="96">
        <f t="shared" si="3"/>
        <v>482</v>
      </c>
      <c r="AC37" s="96">
        <f t="shared" si="3"/>
        <v>438</v>
      </c>
      <c r="AD37" s="96">
        <f t="shared" si="3"/>
        <v>247.6374442793462</v>
      </c>
      <c r="AE37" s="205">
        <f t="shared" si="3"/>
        <v>1485</v>
      </c>
      <c r="AF37" s="96">
        <f t="shared" si="3"/>
        <v>318</v>
      </c>
      <c r="AG37" s="96">
        <f t="shared" si="3"/>
        <v>494</v>
      </c>
      <c r="AH37" s="96">
        <f t="shared" si="3"/>
        <v>424.899072558647</v>
      </c>
      <c r="AI37" s="96">
        <f t="shared" si="3"/>
        <v>397</v>
      </c>
      <c r="AJ37" s="205">
        <f t="shared" si="3"/>
        <v>1629</v>
      </c>
      <c r="AK37" s="96">
        <f t="shared" si="3"/>
        <v>389</v>
      </c>
      <c r="AL37" s="96">
        <f t="shared" si="3"/>
        <v>521</v>
      </c>
      <c r="AM37" s="96">
        <v>271</v>
      </c>
      <c r="AN37" s="96">
        <v>10</v>
      </c>
      <c r="AO37" s="205">
        <v>1131</v>
      </c>
      <c r="AP37" s="96">
        <v>236</v>
      </c>
      <c r="AQ37" s="96">
        <v>227</v>
      </c>
      <c r="AR37" s="96">
        <v>192</v>
      </c>
      <c r="AS37" s="294">
        <v>664</v>
      </c>
      <c r="AT37" s="96">
        <v>142</v>
      </c>
      <c r="AU37" s="294">
        <v>162</v>
      </c>
      <c r="AV37" s="205">
        <v>810</v>
      </c>
      <c r="AW37" s="310">
        <v>826</v>
      </c>
      <c r="AX37" s="96">
        <v>258</v>
      </c>
      <c r="AY37" s="96">
        <v>352</v>
      </c>
      <c r="AZ37" s="96">
        <v>364</v>
      </c>
      <c r="BA37" s="294"/>
      <c r="BB37" s="294">
        <v>983</v>
      </c>
      <c r="BC37" s="96">
        <v>283</v>
      </c>
      <c r="BD37" s="205">
        <v>1266</v>
      </c>
      <c r="BE37" s="385"/>
      <c r="BF37" s="331"/>
      <c r="BG37" s="331"/>
      <c r="BH37" s="331"/>
      <c r="BI37" s="331"/>
      <c r="BJ37" s="331"/>
      <c r="BK37" s="331"/>
      <c r="BL37" s="331"/>
      <c r="BM37" s="331"/>
      <c r="BN37" s="331"/>
      <c r="BO37" s="331"/>
      <c r="BP37" s="331"/>
      <c r="BQ37" s="331"/>
      <c r="BR37" s="331"/>
      <c r="BS37" s="331"/>
    </row>
    <row r="38" spans="57:71" ht="12.75">
      <c r="BE38" s="395"/>
      <c r="BF38" s="427"/>
      <c r="BG38" s="427"/>
      <c r="BH38" s="319"/>
      <c r="BI38" s="319"/>
      <c r="BJ38" s="319"/>
      <c r="BK38" s="319"/>
      <c r="BL38" s="319"/>
      <c r="BM38" s="319"/>
      <c r="BN38" s="319"/>
      <c r="BO38" s="319"/>
      <c r="BP38" s="319"/>
      <c r="BQ38" s="319"/>
      <c r="BR38" s="319"/>
      <c r="BS38" s="319"/>
    </row>
    <row r="39" spans="57:71" ht="12.75">
      <c r="BE39" s="395"/>
      <c r="BF39" s="427"/>
      <c r="BG39" s="427"/>
      <c r="BH39" s="319"/>
      <c r="BI39" s="319"/>
      <c r="BJ39" s="319"/>
      <c r="BK39" s="319"/>
      <c r="BL39" s="319"/>
      <c r="BM39" s="319"/>
      <c r="BN39" s="319"/>
      <c r="BO39" s="319"/>
      <c r="BP39" s="319"/>
      <c r="BQ39" s="319"/>
      <c r="BR39" s="319"/>
      <c r="BS39" s="319"/>
    </row>
    <row r="40" spans="1:71" s="91" customFormat="1" ht="38.25">
      <c r="A40" s="180" t="s">
        <v>323</v>
      </c>
      <c r="B40" s="181" t="s">
        <v>2</v>
      </c>
      <c r="C40" s="181" t="s">
        <v>3</v>
      </c>
      <c r="D40" s="181" t="s">
        <v>4</v>
      </c>
      <c r="E40" s="181" t="s">
        <v>5</v>
      </c>
      <c r="F40" s="181" t="s">
        <v>6</v>
      </c>
      <c r="G40" s="181" t="s">
        <v>12</v>
      </c>
      <c r="H40" s="181" t="s">
        <v>13</v>
      </c>
      <c r="I40" s="181" t="s">
        <v>14</v>
      </c>
      <c r="J40" s="181" t="s">
        <v>15</v>
      </c>
      <c r="K40" s="181" t="s">
        <v>16</v>
      </c>
      <c r="L40" s="181" t="s">
        <v>17</v>
      </c>
      <c r="M40" s="181" t="s">
        <v>18</v>
      </c>
      <c r="N40" s="181" t="s">
        <v>19</v>
      </c>
      <c r="O40" s="181" t="s">
        <v>20</v>
      </c>
      <c r="P40" s="181" t="s">
        <v>21</v>
      </c>
      <c r="Q40" s="181" t="s">
        <v>22</v>
      </c>
      <c r="R40" s="181" t="s">
        <v>23</v>
      </c>
      <c r="S40" s="181" t="s">
        <v>24</v>
      </c>
      <c r="T40" s="181" t="s">
        <v>25</v>
      </c>
      <c r="U40" s="181" t="s">
        <v>26</v>
      </c>
      <c r="V40" s="181" t="s">
        <v>27</v>
      </c>
      <c r="W40" s="181" t="s">
        <v>28</v>
      </c>
      <c r="X40" s="181" t="s">
        <v>29</v>
      </c>
      <c r="Y40" s="181" t="s">
        <v>30</v>
      </c>
      <c r="Z40" s="181" t="s">
        <v>31</v>
      </c>
      <c r="AA40" s="181" t="s">
        <v>32</v>
      </c>
      <c r="AB40" s="181" t="s">
        <v>33</v>
      </c>
      <c r="AC40" s="181" t="s">
        <v>34</v>
      </c>
      <c r="AD40" s="181" t="s">
        <v>271</v>
      </c>
      <c r="AE40" s="181" t="s">
        <v>272</v>
      </c>
      <c r="AF40" s="181" t="s">
        <v>274</v>
      </c>
      <c r="AG40" s="181" t="s">
        <v>276</v>
      </c>
      <c r="AH40" s="181" t="s">
        <v>278</v>
      </c>
      <c r="AI40" s="188" t="s">
        <v>280</v>
      </c>
      <c r="AJ40" s="188" t="s">
        <v>281</v>
      </c>
      <c r="AK40" s="188" t="s">
        <v>289</v>
      </c>
      <c r="AL40" s="188" t="s">
        <v>290</v>
      </c>
      <c r="AM40" s="188" t="s">
        <v>291</v>
      </c>
      <c r="AN40" s="188" t="s">
        <v>292</v>
      </c>
      <c r="AO40" s="188" t="s">
        <v>293</v>
      </c>
      <c r="AP40" s="188" t="s">
        <v>329</v>
      </c>
      <c r="AQ40" s="188" t="s">
        <v>330</v>
      </c>
      <c r="AR40" s="188" t="s">
        <v>331</v>
      </c>
      <c r="AS40" s="306" t="s">
        <v>490</v>
      </c>
      <c r="AT40" s="188" t="s">
        <v>332</v>
      </c>
      <c r="AU40" s="317" t="s">
        <v>477</v>
      </c>
      <c r="AV40" s="188" t="s">
        <v>333</v>
      </c>
      <c r="AW40" s="306" t="s">
        <v>460</v>
      </c>
      <c r="AX40" s="188" t="s">
        <v>448</v>
      </c>
      <c r="AY40" s="188" t="s">
        <v>451</v>
      </c>
      <c r="AZ40" s="188" t="s">
        <v>453</v>
      </c>
      <c r="BA40" s="306"/>
      <c r="BB40" s="317" t="s">
        <v>491</v>
      </c>
      <c r="BC40" s="188" t="s">
        <v>454</v>
      </c>
      <c r="BD40" s="188" t="s">
        <v>454</v>
      </c>
      <c r="BE40" s="387"/>
      <c r="BF40" s="226"/>
      <c r="BG40" s="226"/>
      <c r="BH40" s="226"/>
      <c r="BI40" s="226"/>
      <c r="BJ40" s="226"/>
      <c r="BK40" s="226"/>
      <c r="BL40" s="226"/>
      <c r="BM40" s="226"/>
      <c r="BN40" s="226"/>
      <c r="BO40" s="226"/>
      <c r="BP40" s="226"/>
      <c r="BQ40" s="226"/>
      <c r="BR40" s="226"/>
      <c r="BS40" s="226"/>
    </row>
    <row r="41" spans="1:71" s="91" customFormat="1" ht="12.75">
      <c r="A41" s="125" t="s">
        <v>344</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7"/>
      <c r="AJ41" s="127"/>
      <c r="AK41" s="127"/>
      <c r="AL41" s="127"/>
      <c r="AM41" s="127"/>
      <c r="AN41" s="127"/>
      <c r="AO41" s="127"/>
      <c r="AP41" s="127"/>
      <c r="AQ41" s="127"/>
      <c r="AR41" s="127"/>
      <c r="AS41" s="303"/>
      <c r="AT41" s="127"/>
      <c r="AU41" s="303"/>
      <c r="AV41" s="127"/>
      <c r="AW41" s="303"/>
      <c r="AX41" s="127"/>
      <c r="AY41" s="127"/>
      <c r="AZ41" s="127"/>
      <c r="BA41" s="303"/>
      <c r="BB41" s="303"/>
      <c r="BC41" s="127"/>
      <c r="BD41" s="127"/>
      <c r="BE41" s="388"/>
      <c r="BF41" s="329"/>
      <c r="BG41" s="329"/>
      <c r="BH41" s="329"/>
      <c r="BI41" s="329"/>
      <c r="BJ41" s="329"/>
      <c r="BK41" s="329"/>
      <c r="BL41" s="329"/>
      <c r="BM41" s="329"/>
      <c r="BN41" s="329"/>
      <c r="BO41" s="329"/>
      <c r="BP41" s="329"/>
      <c r="BQ41" s="329"/>
      <c r="BR41" s="329"/>
      <c r="BS41" s="329"/>
    </row>
    <row r="42" spans="1:71" s="91" customFormat="1" ht="12.75">
      <c r="A42" s="183" t="s">
        <v>192</v>
      </c>
      <c r="B42" s="88"/>
      <c r="C42" s="88"/>
      <c r="D42" s="88"/>
      <c r="E42" s="88"/>
      <c r="F42" s="204"/>
      <c r="G42" s="88"/>
      <c r="H42" s="88"/>
      <c r="I42" s="88"/>
      <c r="J42" s="88"/>
      <c r="K42" s="204"/>
      <c r="L42" s="88"/>
      <c r="M42" s="88"/>
      <c r="N42" s="88"/>
      <c r="O42" s="88"/>
      <c r="P42" s="204"/>
      <c r="Q42" s="88"/>
      <c r="R42" s="88"/>
      <c r="S42" s="88"/>
      <c r="T42" s="88"/>
      <c r="U42" s="204"/>
      <c r="V42" s="88"/>
      <c r="W42" s="88"/>
      <c r="X42" s="88"/>
      <c r="Y42" s="88"/>
      <c r="Z42" s="204"/>
      <c r="AA42" s="88">
        <f>'Spec items - HUF mn'!AA42/211.6</f>
        <v>208.02930056710775</v>
      </c>
      <c r="AB42" s="88">
        <v>196</v>
      </c>
      <c r="AC42" s="88">
        <v>197</v>
      </c>
      <c r="AD42" s="88">
        <f>'Spec items - HUF mn'!AD42/201.9</f>
        <v>140.02476473501733</v>
      </c>
      <c r="AE42" s="204">
        <v>744</v>
      </c>
      <c r="AF42" s="88">
        <v>139</v>
      </c>
      <c r="AG42" s="88">
        <v>164</v>
      </c>
      <c r="AH42" s="88">
        <f>'Spec items - HUF mn'!AH42/183.3</f>
        <v>186.2684124386252</v>
      </c>
      <c r="AI42" s="88">
        <v>161</v>
      </c>
      <c r="AJ42" s="204">
        <v>649</v>
      </c>
      <c r="AK42" s="88">
        <v>179</v>
      </c>
      <c r="AL42" s="88">
        <v>235</v>
      </c>
      <c r="AM42" s="88">
        <v>276</v>
      </c>
      <c r="AN42" s="88">
        <v>256</v>
      </c>
      <c r="AO42" s="204">
        <v>946</v>
      </c>
      <c r="AP42" s="88">
        <v>248</v>
      </c>
      <c r="AQ42" s="88">
        <v>133</v>
      </c>
      <c r="AR42" s="88">
        <v>147</v>
      </c>
      <c r="AS42" s="100">
        <v>539</v>
      </c>
      <c r="AT42" s="88">
        <v>171</v>
      </c>
      <c r="AU42" s="100">
        <v>172</v>
      </c>
      <c r="AV42" s="204">
        <v>711</v>
      </c>
      <c r="AW42" s="309">
        <v>711</v>
      </c>
      <c r="AX42" s="88">
        <v>179</v>
      </c>
      <c r="AY42" s="88">
        <v>184</v>
      </c>
      <c r="AZ42" s="88">
        <v>198</v>
      </c>
      <c r="BA42" s="100"/>
      <c r="BB42" s="100">
        <v>562</v>
      </c>
      <c r="BC42" s="88">
        <v>230</v>
      </c>
      <c r="BD42" s="204">
        <v>791</v>
      </c>
      <c r="BE42" s="380"/>
      <c r="BF42" s="330"/>
      <c r="BG42" s="330"/>
      <c r="BH42" s="330"/>
      <c r="BI42" s="330"/>
      <c r="BJ42" s="330"/>
      <c r="BK42" s="330"/>
      <c r="BL42" s="330"/>
      <c r="BM42" s="330"/>
      <c r="BN42" s="330"/>
      <c r="BO42" s="330"/>
      <c r="BP42" s="330"/>
      <c r="BQ42" s="330"/>
      <c r="BR42" s="330"/>
      <c r="BS42" s="330"/>
    </row>
    <row r="43" spans="1:71" s="91" customFormat="1" ht="12.75">
      <c r="A43" s="183" t="s">
        <v>193</v>
      </c>
      <c r="B43" s="88"/>
      <c r="C43" s="88"/>
      <c r="D43" s="88"/>
      <c r="E43" s="88"/>
      <c r="F43" s="204"/>
      <c r="G43" s="88"/>
      <c r="H43" s="88"/>
      <c r="I43" s="88"/>
      <c r="J43" s="88"/>
      <c r="K43" s="204"/>
      <c r="L43" s="88"/>
      <c r="M43" s="88"/>
      <c r="N43" s="88"/>
      <c r="O43" s="88"/>
      <c r="P43" s="204"/>
      <c r="Q43" s="88"/>
      <c r="R43" s="88"/>
      <c r="S43" s="88"/>
      <c r="T43" s="88"/>
      <c r="U43" s="204"/>
      <c r="V43" s="88"/>
      <c r="W43" s="88"/>
      <c r="X43" s="88"/>
      <c r="Y43" s="88"/>
      <c r="Z43" s="204"/>
      <c r="AA43" s="88">
        <f>'Spec items - HUF mn'!AA43/211.6</f>
        <v>166.41304347826087</v>
      </c>
      <c r="AB43" s="88">
        <v>399</v>
      </c>
      <c r="AC43" s="88">
        <v>345</v>
      </c>
      <c r="AD43" s="88">
        <f>'Spec items - HUF mn'!AD43/201.9</f>
        <v>183.05596830113916</v>
      </c>
      <c r="AE43" s="204">
        <v>1098</v>
      </c>
      <c r="AF43" s="88">
        <v>228</v>
      </c>
      <c r="AG43" s="88">
        <v>405</v>
      </c>
      <c r="AH43" s="88">
        <f>'Spec items - HUF mn'!AH43/183.3</f>
        <v>343.7206764866339</v>
      </c>
      <c r="AI43" s="88">
        <v>308</v>
      </c>
      <c r="AJ43" s="204">
        <v>1279</v>
      </c>
      <c r="AK43" s="88">
        <v>334</v>
      </c>
      <c r="AL43" s="88">
        <v>544</v>
      </c>
      <c r="AM43" s="88">
        <v>146</v>
      </c>
      <c r="AN43" s="88">
        <v>-122</v>
      </c>
      <c r="AO43" s="204">
        <v>830</v>
      </c>
      <c r="AP43" s="88">
        <v>109</v>
      </c>
      <c r="AQ43" s="88">
        <v>300</v>
      </c>
      <c r="AR43" s="88">
        <v>133</v>
      </c>
      <c r="AS43" s="100">
        <v>549</v>
      </c>
      <c r="AT43" s="88">
        <v>102</v>
      </c>
      <c r="AU43" s="100">
        <v>98</v>
      </c>
      <c r="AV43" s="204">
        <v>650</v>
      </c>
      <c r="AW43" s="309">
        <v>647</v>
      </c>
      <c r="AX43" s="88">
        <v>152</v>
      </c>
      <c r="AY43" s="88">
        <v>196</v>
      </c>
      <c r="AZ43" s="88">
        <v>290</v>
      </c>
      <c r="BA43" s="100"/>
      <c r="BB43" s="100">
        <v>644</v>
      </c>
      <c r="BC43" s="88">
        <v>190</v>
      </c>
      <c r="BD43" s="204">
        <v>834</v>
      </c>
      <c r="BE43" s="380"/>
      <c r="BF43" s="330"/>
      <c r="BG43" s="330"/>
      <c r="BH43" s="330"/>
      <c r="BI43" s="330"/>
      <c r="BJ43" s="330"/>
      <c r="BK43" s="330"/>
      <c r="BL43" s="330"/>
      <c r="BM43" s="330"/>
      <c r="BN43" s="330"/>
      <c r="BO43" s="330"/>
      <c r="BP43" s="330"/>
      <c r="BQ43" s="330"/>
      <c r="BR43" s="330"/>
      <c r="BS43" s="330"/>
    </row>
    <row r="44" spans="1:71" s="91" customFormat="1" ht="12.75">
      <c r="A44" s="183" t="s">
        <v>433</v>
      </c>
      <c r="B44" s="88"/>
      <c r="C44" s="88"/>
      <c r="D44" s="88"/>
      <c r="E44" s="88"/>
      <c r="F44" s="204"/>
      <c r="G44" s="88"/>
      <c r="H44" s="88"/>
      <c r="I44" s="88"/>
      <c r="J44" s="88"/>
      <c r="K44" s="204"/>
      <c r="L44" s="88"/>
      <c r="M44" s="88"/>
      <c r="N44" s="88"/>
      <c r="O44" s="88"/>
      <c r="P44" s="204"/>
      <c r="Q44" s="88"/>
      <c r="R44" s="88"/>
      <c r="S44" s="88"/>
      <c r="T44" s="88"/>
      <c r="U44" s="204"/>
      <c r="V44" s="88"/>
      <c r="W44" s="88"/>
      <c r="X44" s="88"/>
      <c r="Y44" s="88"/>
      <c r="Z44" s="204"/>
      <c r="AA44" s="88">
        <f>'Spec items - HUF mn'!AA44/211.6</f>
        <v>62.84499054820416</v>
      </c>
      <c r="AB44" s="88">
        <v>52</v>
      </c>
      <c r="AC44" s="88">
        <v>33</v>
      </c>
      <c r="AD44" s="88">
        <f>'Spec items - HUF mn'!AD44/201.9</f>
        <v>56.93907875185735</v>
      </c>
      <c r="AE44" s="204">
        <v>204</v>
      </c>
      <c r="AF44" s="88">
        <v>76</v>
      </c>
      <c r="AG44" s="88">
        <v>54</v>
      </c>
      <c r="AH44" s="88">
        <f>'Spec items - HUF mn'!AH44/183.3</f>
        <v>55.122749590834694</v>
      </c>
      <c r="AI44" s="88">
        <v>66</v>
      </c>
      <c r="AJ44" s="204">
        <v>251</v>
      </c>
      <c r="AK44" s="88">
        <v>77</v>
      </c>
      <c r="AL44" s="88">
        <v>74</v>
      </c>
      <c r="AM44" s="88">
        <v>70</v>
      </c>
      <c r="AN44" s="88">
        <v>72</v>
      </c>
      <c r="AO44" s="204">
        <v>294</v>
      </c>
      <c r="AP44" s="88">
        <v>93</v>
      </c>
      <c r="AQ44" s="88">
        <v>69</v>
      </c>
      <c r="AR44" s="88">
        <v>105</v>
      </c>
      <c r="AS44" s="100">
        <v>265</v>
      </c>
      <c r="AT44" s="88">
        <v>122</v>
      </c>
      <c r="AU44" s="100">
        <v>119</v>
      </c>
      <c r="AV44" s="204">
        <v>386</v>
      </c>
      <c r="AW44" s="309">
        <v>384</v>
      </c>
      <c r="AX44" s="88">
        <v>155</v>
      </c>
      <c r="AY44" s="88">
        <v>121</v>
      </c>
      <c r="AZ44" s="88">
        <v>62</v>
      </c>
      <c r="BA44" s="100"/>
      <c r="BB44" s="100">
        <v>333</v>
      </c>
      <c r="BC44" s="88">
        <v>87</v>
      </c>
      <c r="BD44" s="204">
        <v>420</v>
      </c>
      <c r="BE44" s="380"/>
      <c r="BF44" s="330"/>
      <c r="BG44" s="330"/>
      <c r="BH44" s="330"/>
      <c r="BI44" s="330"/>
      <c r="BJ44" s="330"/>
      <c r="BK44" s="330"/>
      <c r="BL44" s="330"/>
      <c r="BM44" s="330"/>
      <c r="BN44" s="330"/>
      <c r="BO44" s="330"/>
      <c r="BP44" s="330"/>
      <c r="BQ44" s="330"/>
      <c r="BR44" s="330"/>
      <c r="BS44" s="330"/>
    </row>
    <row r="45" spans="1:71" s="91" customFormat="1" ht="12.75">
      <c r="A45" s="183" t="s">
        <v>62</v>
      </c>
      <c r="B45" s="88"/>
      <c r="C45" s="88"/>
      <c r="D45" s="88"/>
      <c r="E45" s="88"/>
      <c r="F45" s="204"/>
      <c r="G45" s="88"/>
      <c r="H45" s="88"/>
      <c r="I45" s="88"/>
      <c r="J45" s="88"/>
      <c r="K45" s="204"/>
      <c r="L45" s="88"/>
      <c r="M45" s="88"/>
      <c r="N45" s="88"/>
      <c r="O45" s="88"/>
      <c r="P45" s="204"/>
      <c r="Q45" s="88"/>
      <c r="R45" s="88"/>
      <c r="S45" s="88"/>
      <c r="T45" s="88"/>
      <c r="U45" s="204"/>
      <c r="V45" s="88"/>
      <c r="W45" s="88"/>
      <c r="X45" s="88"/>
      <c r="Y45" s="88"/>
      <c r="Z45" s="204"/>
      <c r="AA45" s="88">
        <f>'Spec items - HUF mn'!AA45/211.6</f>
        <v>38.08601134215501</v>
      </c>
      <c r="AB45" s="88">
        <v>39</v>
      </c>
      <c r="AC45" s="88">
        <v>46</v>
      </c>
      <c r="AD45" s="88">
        <f>'Spec items - HUF mn'!AD45/201.9</f>
        <v>75.27984150569588</v>
      </c>
      <c r="AE45" s="204">
        <v>199</v>
      </c>
      <c r="AF45" s="88">
        <v>90</v>
      </c>
      <c r="AG45" s="88">
        <v>93</v>
      </c>
      <c r="AH45" s="88">
        <f>'Spec items - HUF mn'!AH45/183.3</f>
        <v>91.08019639934533</v>
      </c>
      <c r="AI45" s="88">
        <v>54</v>
      </c>
      <c r="AJ45" s="204">
        <v>328</v>
      </c>
      <c r="AK45" s="88">
        <v>43</v>
      </c>
      <c r="AL45" s="88">
        <v>-52</v>
      </c>
      <c r="AM45" s="88">
        <v>28</v>
      </c>
      <c r="AN45" s="88">
        <v>43</v>
      </c>
      <c r="AO45" s="204">
        <v>71</v>
      </c>
      <c r="AP45" s="88">
        <v>5</v>
      </c>
      <c r="AQ45" s="88">
        <v>-22</v>
      </c>
      <c r="AR45" s="88">
        <v>32</v>
      </c>
      <c r="AS45" s="100">
        <v>11</v>
      </c>
      <c r="AT45" s="88">
        <v>3</v>
      </c>
      <c r="AU45" s="100">
        <v>4</v>
      </c>
      <c r="AV45" s="204">
        <v>15</v>
      </c>
      <c r="AW45" s="309">
        <v>15</v>
      </c>
      <c r="AX45" s="88">
        <v>11</v>
      </c>
      <c r="AY45" s="88">
        <v>28</v>
      </c>
      <c r="AZ45" s="88">
        <v>49</v>
      </c>
      <c r="BA45" s="100"/>
      <c r="BB45" s="100">
        <v>89</v>
      </c>
      <c r="BC45" s="88">
        <v>4</v>
      </c>
      <c r="BD45" s="204">
        <v>93</v>
      </c>
      <c r="BE45" s="380"/>
      <c r="BF45" s="330"/>
      <c r="BG45" s="330"/>
      <c r="BH45" s="330"/>
      <c r="BI45" s="330"/>
      <c r="BJ45" s="330"/>
      <c r="BK45" s="330"/>
      <c r="BL45" s="330"/>
      <c r="BM45" s="330"/>
      <c r="BN45" s="330"/>
      <c r="BO45" s="330"/>
      <c r="BP45" s="330"/>
      <c r="BQ45" s="330"/>
      <c r="BR45" s="330"/>
      <c r="BS45" s="330"/>
    </row>
    <row r="46" spans="1:71" s="91" customFormat="1" ht="12.75">
      <c r="A46" s="183" t="s">
        <v>195</v>
      </c>
      <c r="B46" s="88"/>
      <c r="C46" s="88"/>
      <c r="D46" s="88"/>
      <c r="E46" s="88"/>
      <c r="F46" s="204"/>
      <c r="G46" s="88"/>
      <c r="H46" s="88"/>
      <c r="I46" s="88"/>
      <c r="J46" s="88"/>
      <c r="K46" s="204"/>
      <c r="L46" s="88"/>
      <c r="M46" s="88"/>
      <c r="N46" s="88"/>
      <c r="O46" s="88"/>
      <c r="P46" s="204"/>
      <c r="Q46" s="88"/>
      <c r="R46" s="88"/>
      <c r="S46" s="88"/>
      <c r="T46" s="88"/>
      <c r="U46" s="204"/>
      <c r="V46" s="88"/>
      <c r="W46" s="88"/>
      <c r="X46" s="88"/>
      <c r="Y46" s="88"/>
      <c r="Z46" s="204"/>
      <c r="AA46" s="88">
        <f>'Spec items - HUF mn'!AA46/211.6</f>
        <v>-42.66540642722117</v>
      </c>
      <c r="AB46" s="88">
        <v>-56</v>
      </c>
      <c r="AC46" s="88">
        <v>-34</v>
      </c>
      <c r="AD46" s="88">
        <f>'Spec items - HUF mn'!AD46/201.9</f>
        <v>-37.43932639920753</v>
      </c>
      <c r="AE46" s="204">
        <v>-170</v>
      </c>
      <c r="AF46" s="88">
        <v>-30</v>
      </c>
      <c r="AG46" s="88">
        <v>-37</v>
      </c>
      <c r="AH46" s="88">
        <f>'Spec items - HUF mn'!AH46/183.3</f>
        <v>-36.38843426077469</v>
      </c>
      <c r="AI46" s="88">
        <v>-2</v>
      </c>
      <c r="AJ46" s="204">
        <v>-106</v>
      </c>
      <c r="AK46" s="88">
        <v>-38</v>
      </c>
      <c r="AL46" s="88">
        <v>-57</v>
      </c>
      <c r="AM46" s="88">
        <v>-37</v>
      </c>
      <c r="AN46" s="88">
        <v>-33</v>
      </c>
      <c r="AO46" s="204">
        <v>-162</v>
      </c>
      <c r="AP46" s="88">
        <v>-12</v>
      </c>
      <c r="AQ46" s="88">
        <v>-82</v>
      </c>
      <c r="AR46" s="88">
        <v>-29</v>
      </c>
      <c r="AS46" s="100">
        <v>-123</v>
      </c>
      <c r="AT46" s="88">
        <v>-48</v>
      </c>
      <c r="AU46" s="100">
        <v>-20</v>
      </c>
      <c r="AV46" s="204">
        <v>-169</v>
      </c>
      <c r="AW46" s="309">
        <v>-143</v>
      </c>
      <c r="AX46" s="88">
        <v>-10</v>
      </c>
      <c r="AY46" s="88">
        <v>21</v>
      </c>
      <c r="AZ46" s="88">
        <v>-55</v>
      </c>
      <c r="BA46" s="100"/>
      <c r="BB46" s="100">
        <v>-43</v>
      </c>
      <c r="BC46" s="88">
        <v>-19</v>
      </c>
      <c r="BD46" s="204">
        <v>-61</v>
      </c>
      <c r="BE46" s="380"/>
      <c r="BF46" s="330"/>
      <c r="BG46" s="330"/>
      <c r="BH46" s="330"/>
      <c r="BI46" s="330"/>
      <c r="BJ46" s="330"/>
      <c r="BK46" s="330"/>
      <c r="BL46" s="330"/>
      <c r="BM46" s="330"/>
      <c r="BN46" s="330"/>
      <c r="BO46" s="330"/>
      <c r="BP46" s="330"/>
      <c r="BQ46" s="330"/>
      <c r="BR46" s="330"/>
      <c r="BS46" s="330"/>
    </row>
    <row r="47" spans="1:71" s="91" customFormat="1" ht="14.25">
      <c r="A47" s="183" t="s">
        <v>319</v>
      </c>
      <c r="B47" s="88"/>
      <c r="C47" s="88"/>
      <c r="D47" s="88"/>
      <c r="E47" s="88"/>
      <c r="F47" s="204"/>
      <c r="G47" s="88"/>
      <c r="H47" s="88"/>
      <c r="I47" s="88"/>
      <c r="J47" s="88"/>
      <c r="K47" s="204"/>
      <c r="L47" s="88"/>
      <c r="M47" s="88"/>
      <c r="N47" s="88"/>
      <c r="O47" s="88"/>
      <c r="P47" s="204"/>
      <c r="Q47" s="88"/>
      <c r="R47" s="88"/>
      <c r="S47" s="88"/>
      <c r="T47" s="88"/>
      <c r="U47" s="204"/>
      <c r="V47" s="88"/>
      <c r="W47" s="88"/>
      <c r="X47" s="88"/>
      <c r="Y47" s="88"/>
      <c r="Z47" s="204"/>
      <c r="AA47" s="88">
        <f>'Spec items - HUF mn'!AA47/211.6</f>
        <v>26.17202268431002</v>
      </c>
      <c r="AB47" s="88">
        <v>5</v>
      </c>
      <c r="AC47" s="88">
        <v>1</v>
      </c>
      <c r="AD47" s="88">
        <f>'Spec items - HUF mn'!AD47/201.9</f>
        <v>9.25705794947994</v>
      </c>
      <c r="AE47" s="204">
        <v>41</v>
      </c>
      <c r="AF47" s="88">
        <v>-7</v>
      </c>
      <c r="AG47" s="88">
        <v>-10</v>
      </c>
      <c r="AH47" s="88">
        <f>'Spec items - HUF mn'!AH47/183.3</f>
        <v>-3.1423895253682486</v>
      </c>
      <c r="AI47" s="88">
        <v>14</v>
      </c>
      <c r="AJ47" s="204">
        <v>-7</v>
      </c>
      <c r="AK47" s="88">
        <v>-8</v>
      </c>
      <c r="AL47" s="88">
        <v>-7</v>
      </c>
      <c r="AM47" s="88">
        <v>34</v>
      </c>
      <c r="AN47" s="88">
        <v>19</v>
      </c>
      <c r="AO47" s="204">
        <v>37</v>
      </c>
      <c r="AP47" s="88">
        <v>-30</v>
      </c>
      <c r="AQ47" s="88">
        <v>43</v>
      </c>
      <c r="AR47" s="88">
        <v>12</v>
      </c>
      <c r="AS47" s="100">
        <v>22</v>
      </c>
      <c r="AT47" s="88">
        <v>-9</v>
      </c>
      <c r="AU47" s="100">
        <v>-10</v>
      </c>
      <c r="AV47" s="204">
        <v>14</v>
      </c>
      <c r="AW47" s="309">
        <v>12</v>
      </c>
      <c r="AX47" s="88">
        <v>-9</v>
      </c>
      <c r="AY47" s="88">
        <v>-2</v>
      </c>
      <c r="AZ47" s="88">
        <v>7</v>
      </c>
      <c r="BA47" s="100"/>
      <c r="BB47" s="100">
        <v>-2</v>
      </c>
      <c r="BC47" s="88">
        <v>-12</v>
      </c>
      <c r="BD47" s="204">
        <v>-15</v>
      </c>
      <c r="BE47" s="380"/>
      <c r="BF47" s="330"/>
      <c r="BG47" s="330"/>
      <c r="BH47" s="330"/>
      <c r="BI47" s="330"/>
      <c r="BJ47" s="330"/>
      <c r="BK47" s="330"/>
      <c r="BL47" s="330"/>
      <c r="BM47" s="330"/>
      <c r="BN47" s="330"/>
      <c r="BO47" s="330"/>
      <c r="BP47" s="330"/>
      <c r="BQ47" s="330"/>
      <c r="BR47" s="330"/>
      <c r="BS47" s="330"/>
    </row>
    <row r="48" spans="1:71" s="91" customFormat="1" ht="12.75">
      <c r="A48" s="185" t="s">
        <v>205</v>
      </c>
      <c r="B48" s="96"/>
      <c r="C48" s="96"/>
      <c r="D48" s="96"/>
      <c r="E48" s="96"/>
      <c r="F48" s="205"/>
      <c r="G48" s="96"/>
      <c r="H48" s="96"/>
      <c r="I48" s="96"/>
      <c r="J48" s="96"/>
      <c r="K48" s="205"/>
      <c r="L48" s="96"/>
      <c r="M48" s="96"/>
      <c r="N48" s="96"/>
      <c r="O48" s="96"/>
      <c r="P48" s="205"/>
      <c r="Q48" s="96"/>
      <c r="R48" s="96"/>
      <c r="S48" s="96"/>
      <c r="T48" s="96"/>
      <c r="U48" s="205"/>
      <c r="V48" s="96"/>
      <c r="W48" s="96"/>
      <c r="X48" s="96"/>
      <c r="Y48" s="96"/>
      <c r="Z48" s="205"/>
      <c r="AA48" s="96">
        <f aca="true" t="shared" si="4" ref="AA48:AL48">SUM(AA42:AA47)</f>
        <v>458.87996219281666</v>
      </c>
      <c r="AB48" s="96">
        <f t="shared" si="4"/>
        <v>635</v>
      </c>
      <c r="AC48" s="96">
        <f t="shared" si="4"/>
        <v>588</v>
      </c>
      <c r="AD48" s="96">
        <f t="shared" si="4"/>
        <v>427.11738484398217</v>
      </c>
      <c r="AE48" s="205">
        <f t="shared" si="4"/>
        <v>2116</v>
      </c>
      <c r="AF48" s="96">
        <f t="shared" si="4"/>
        <v>496</v>
      </c>
      <c r="AG48" s="96">
        <f t="shared" si="4"/>
        <v>669</v>
      </c>
      <c r="AH48" s="96">
        <f t="shared" si="4"/>
        <v>636.6612111292962</v>
      </c>
      <c r="AI48" s="96">
        <f t="shared" si="4"/>
        <v>601</v>
      </c>
      <c r="AJ48" s="205">
        <f t="shared" si="4"/>
        <v>2394</v>
      </c>
      <c r="AK48" s="96">
        <f t="shared" si="4"/>
        <v>587</v>
      </c>
      <c r="AL48" s="96">
        <f t="shared" si="4"/>
        <v>737</v>
      </c>
      <c r="AM48" s="96">
        <v>517</v>
      </c>
      <c r="AN48" s="96">
        <v>235</v>
      </c>
      <c r="AO48" s="205">
        <v>2016</v>
      </c>
      <c r="AP48" s="96">
        <v>413</v>
      </c>
      <c r="AQ48" s="96">
        <v>441</v>
      </c>
      <c r="AR48" s="96">
        <v>400</v>
      </c>
      <c r="AS48" s="294">
        <v>1263</v>
      </c>
      <c r="AT48" s="96">
        <v>341</v>
      </c>
      <c r="AU48" s="294">
        <v>363</v>
      </c>
      <c r="AV48" s="205">
        <v>1607</v>
      </c>
      <c r="AW48" s="310">
        <v>1626</v>
      </c>
      <c r="AX48" s="96">
        <v>478</v>
      </c>
      <c r="AY48" s="96">
        <v>548</v>
      </c>
      <c r="AZ48" s="96">
        <v>551</v>
      </c>
      <c r="BA48" s="294"/>
      <c r="BB48" s="294">
        <v>1583</v>
      </c>
      <c r="BC48" s="96">
        <v>480</v>
      </c>
      <c r="BD48" s="205">
        <v>2062</v>
      </c>
      <c r="BE48" s="385"/>
      <c r="BF48" s="331"/>
      <c r="BG48" s="331"/>
      <c r="BH48" s="331"/>
      <c r="BI48" s="331"/>
      <c r="BJ48" s="331"/>
      <c r="BK48" s="331"/>
      <c r="BL48" s="331"/>
      <c r="BM48" s="331"/>
      <c r="BN48" s="331"/>
      <c r="BO48" s="331"/>
      <c r="BP48" s="331"/>
      <c r="BQ48" s="331"/>
      <c r="BR48" s="331"/>
      <c r="BS48" s="331"/>
    </row>
    <row r="49" ht="12.75">
      <c r="A49" s="3" t="s">
        <v>478</v>
      </c>
    </row>
    <row r="50" ht="12.75"/>
    <row r="51" ht="12.75"/>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57"/>
    <pageSetUpPr fitToPage="1"/>
  </sheetPr>
  <dimension ref="A2:BR27"/>
  <sheetViews>
    <sheetView zoomScalePageLayoutView="0" workbookViewId="0" topLeftCell="A1">
      <pane xSplit="1" ySplit="2" topLeftCell="BE3" activePane="bottomRight" state="frozen"/>
      <selection pane="topLeft" activeCell="V51" sqref="V51"/>
      <selection pane="topRight" activeCell="V51" sqref="V51"/>
      <selection pane="bottomLeft" activeCell="V51" sqref="V51"/>
      <selection pane="bottomRight" activeCell="A2" sqref="A2"/>
    </sheetView>
  </sheetViews>
  <sheetFormatPr defaultColWidth="9.140625" defaultRowHeight="12.75" zeroHeight="1" outlineLevelCol="1"/>
  <cols>
    <col min="1" max="1" width="37.140625" style="135" customWidth="1"/>
    <col min="2" max="21" width="9.140625" style="135" hidden="1" customWidth="1" outlineLevel="1"/>
    <col min="22" max="22" width="9.140625" style="135" customWidth="1" collapsed="1"/>
    <col min="23" max="51" width="9.140625" style="135" customWidth="1"/>
    <col min="52" max="52" width="10.00390625" style="393" customWidth="1"/>
    <col min="53" max="54" width="10.00390625" style="135" customWidth="1"/>
    <col min="55" max="55" width="10.28125" style="135" customWidth="1"/>
    <col min="56" max="56" width="10.7109375" style="135" customWidth="1"/>
    <col min="57" max="57" width="9.140625" style="135" customWidth="1"/>
    <col min="58" max="58" width="12.28125" style="135" customWidth="1"/>
    <col min="59" max="61" width="9.140625" style="135" customWidth="1"/>
    <col min="62" max="64" width="12.140625" style="135" customWidth="1"/>
    <col min="65" max="16384" width="9.140625" style="135" customWidth="1"/>
  </cols>
  <sheetData>
    <row r="1" ht="12.75"/>
    <row r="2" spans="1:69" ht="25.5">
      <c r="A2" s="132" t="s">
        <v>372</v>
      </c>
      <c r="B2" s="133" t="s">
        <v>2</v>
      </c>
      <c r="C2" s="133" t="s">
        <v>3</v>
      </c>
      <c r="D2" s="133" t="s">
        <v>4</v>
      </c>
      <c r="E2" s="133" t="s">
        <v>5</v>
      </c>
      <c r="F2" s="133" t="s">
        <v>6</v>
      </c>
      <c r="G2" s="133" t="s">
        <v>12</v>
      </c>
      <c r="H2" s="133" t="s">
        <v>13</v>
      </c>
      <c r="I2" s="133" t="s">
        <v>14</v>
      </c>
      <c r="J2" s="133" t="s">
        <v>15</v>
      </c>
      <c r="K2" s="133" t="s">
        <v>16</v>
      </c>
      <c r="L2" s="133" t="s">
        <v>17</v>
      </c>
      <c r="M2" s="133" t="s">
        <v>18</v>
      </c>
      <c r="N2" s="133" t="s">
        <v>19</v>
      </c>
      <c r="O2" s="133" t="s">
        <v>20</v>
      </c>
      <c r="P2" s="133" t="s">
        <v>21</v>
      </c>
      <c r="Q2" s="133" t="s">
        <v>22</v>
      </c>
      <c r="R2" s="133" t="s">
        <v>23</v>
      </c>
      <c r="S2" s="133" t="s">
        <v>24</v>
      </c>
      <c r="T2" s="133" t="s">
        <v>25</v>
      </c>
      <c r="U2" s="133" t="s">
        <v>26</v>
      </c>
      <c r="V2" s="133" t="s">
        <v>27</v>
      </c>
      <c r="W2" s="133" t="s">
        <v>28</v>
      </c>
      <c r="X2" s="133" t="s">
        <v>29</v>
      </c>
      <c r="Y2" s="133" t="s">
        <v>30</v>
      </c>
      <c r="Z2" s="133" t="s">
        <v>31</v>
      </c>
      <c r="AA2" s="133" t="s">
        <v>32</v>
      </c>
      <c r="AB2" s="133" t="s">
        <v>33</v>
      </c>
      <c r="AC2" s="133" t="s">
        <v>34</v>
      </c>
      <c r="AD2" s="133" t="s">
        <v>271</v>
      </c>
      <c r="AE2" s="133" t="s">
        <v>272</v>
      </c>
      <c r="AF2" s="133" t="s">
        <v>274</v>
      </c>
      <c r="AG2" s="133" t="s">
        <v>276</v>
      </c>
      <c r="AH2" s="133" t="s">
        <v>278</v>
      </c>
      <c r="AI2" s="134" t="s">
        <v>280</v>
      </c>
      <c r="AJ2" s="134" t="s">
        <v>281</v>
      </c>
      <c r="AK2" s="134" t="s">
        <v>289</v>
      </c>
      <c r="AL2" s="134" t="s">
        <v>290</v>
      </c>
      <c r="AM2" s="134" t="s">
        <v>291</v>
      </c>
      <c r="AN2" s="134" t="s">
        <v>292</v>
      </c>
      <c r="AO2" s="134" t="s">
        <v>293</v>
      </c>
      <c r="AP2" s="134" t="s">
        <v>329</v>
      </c>
      <c r="AQ2" s="134" t="s">
        <v>330</v>
      </c>
      <c r="AR2" s="134" t="s">
        <v>331</v>
      </c>
      <c r="AS2" s="134" t="s">
        <v>332</v>
      </c>
      <c r="AT2" s="134" t="s">
        <v>333</v>
      </c>
      <c r="AU2" s="134" t="s">
        <v>448</v>
      </c>
      <c r="AV2" s="134" t="s">
        <v>451</v>
      </c>
      <c r="AW2" s="134" t="s">
        <v>453</v>
      </c>
      <c r="AX2" s="134" t="s">
        <v>454</v>
      </c>
      <c r="AY2" s="134" t="s">
        <v>457</v>
      </c>
      <c r="AZ2" s="342" t="s">
        <v>492</v>
      </c>
      <c r="BA2" s="7" t="s">
        <v>553</v>
      </c>
      <c r="BB2" s="7" t="s">
        <v>560</v>
      </c>
      <c r="BC2" s="7" t="s">
        <v>493</v>
      </c>
      <c r="BD2" s="7" t="s">
        <v>494</v>
      </c>
      <c r="BE2" s="7" t="s">
        <v>495</v>
      </c>
      <c r="BF2" s="7" t="s">
        <v>598</v>
      </c>
      <c r="BG2" s="7" t="s">
        <v>554</v>
      </c>
      <c r="BH2" s="7" t="s">
        <v>561</v>
      </c>
      <c r="BI2" s="7" t="s">
        <v>570</v>
      </c>
      <c r="BJ2" s="7" t="s">
        <v>596</v>
      </c>
      <c r="BK2" s="7" t="s">
        <v>574</v>
      </c>
      <c r="BL2" s="7" t="s">
        <v>597</v>
      </c>
      <c r="BM2" s="7" t="s">
        <v>595</v>
      </c>
      <c r="BN2" s="7" t="s">
        <v>605</v>
      </c>
      <c r="BO2" s="7" t="s">
        <v>617</v>
      </c>
      <c r="BP2" s="7" t="s">
        <v>619</v>
      </c>
      <c r="BQ2" s="7" t="s">
        <v>620</v>
      </c>
    </row>
    <row r="3" spans="1:69" ht="12.75">
      <c r="A3" s="13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8"/>
      <c r="AJ3" s="138"/>
      <c r="AK3" s="138"/>
      <c r="AL3" s="138"/>
      <c r="AM3" s="138"/>
      <c r="AN3" s="138"/>
      <c r="AO3" s="138"/>
      <c r="AP3" s="138"/>
      <c r="AQ3" s="138"/>
      <c r="AR3" s="138"/>
      <c r="AS3" s="138"/>
      <c r="AT3" s="138"/>
      <c r="AU3" s="138"/>
      <c r="AV3" s="138"/>
      <c r="AW3" s="138"/>
      <c r="AX3" s="138"/>
      <c r="AY3" s="138"/>
      <c r="AZ3" s="396"/>
      <c r="BA3" s="138"/>
      <c r="BB3" s="138"/>
      <c r="BC3" s="138"/>
      <c r="BD3" s="138"/>
      <c r="BE3" s="138"/>
      <c r="BF3" s="138"/>
      <c r="BG3" s="138"/>
      <c r="BH3" s="138"/>
      <c r="BI3" s="138"/>
      <c r="BJ3" s="138"/>
      <c r="BK3" s="138"/>
      <c r="BL3" s="138"/>
      <c r="BM3" s="138"/>
      <c r="BN3" s="138"/>
      <c r="BO3" s="138"/>
      <c r="BP3" s="138"/>
      <c r="BQ3" s="138"/>
    </row>
    <row r="4" spans="1:69" ht="12.75">
      <c r="A4" s="139" t="s">
        <v>518</v>
      </c>
      <c r="B4" s="140">
        <v>4.1</v>
      </c>
      <c r="C4" s="140">
        <v>6</v>
      </c>
      <c r="D4" s="140">
        <v>7</v>
      </c>
      <c r="E4" s="140">
        <v>6.5</v>
      </c>
      <c r="F4" s="141">
        <v>23.6</v>
      </c>
      <c r="G4" s="140">
        <v>3.4</v>
      </c>
      <c r="H4" s="140">
        <v>6.1</v>
      </c>
      <c r="I4" s="140">
        <v>6.4</v>
      </c>
      <c r="J4" s="140">
        <v>10.3</v>
      </c>
      <c r="K4" s="141">
        <v>26.2</v>
      </c>
      <c r="L4" s="140">
        <v>26.2</v>
      </c>
      <c r="M4" s="140">
        <v>13</v>
      </c>
      <c r="N4" s="140">
        <v>6.5</v>
      </c>
      <c r="O4" s="140">
        <v>12.8</v>
      </c>
      <c r="P4" s="141">
        <v>58.5</v>
      </c>
      <c r="Q4" s="140">
        <v>6.7</v>
      </c>
      <c r="R4" s="140">
        <v>6.6</v>
      </c>
      <c r="S4" s="140">
        <v>7</v>
      </c>
      <c r="T4" s="140">
        <v>10.8</v>
      </c>
      <c r="U4" s="141">
        <v>31.1</v>
      </c>
      <c r="V4" s="140">
        <v>6.4</v>
      </c>
      <c r="W4" s="140">
        <v>7.5</v>
      </c>
      <c r="X4" s="140">
        <v>9.9</v>
      </c>
      <c r="Y4" s="140">
        <v>10.6</v>
      </c>
      <c r="Z4" s="141">
        <v>34.4</v>
      </c>
      <c r="AA4" s="140">
        <v>5.3</v>
      </c>
      <c r="AB4" s="140">
        <v>10.1</v>
      </c>
      <c r="AC4" s="140">
        <v>8.4</v>
      </c>
      <c r="AD4" s="140">
        <v>55.761260614000015</v>
      </c>
      <c r="AE4" s="141">
        <v>79.56126061400002</v>
      </c>
      <c r="AF4" s="140">
        <v>7.4</v>
      </c>
      <c r="AG4" s="140">
        <v>15.946</v>
      </c>
      <c r="AH4" s="140">
        <v>14.1</v>
      </c>
      <c r="AI4" s="140">
        <v>19.266</v>
      </c>
      <c r="AJ4" s="141">
        <v>56.711999999999996</v>
      </c>
      <c r="AK4" s="140">
        <v>17.568</v>
      </c>
      <c r="AL4" s="140">
        <v>13.333</v>
      </c>
      <c r="AM4" s="140">
        <v>24.447</v>
      </c>
      <c r="AN4" s="140">
        <v>18</v>
      </c>
      <c r="AO4" s="141">
        <v>73.4</v>
      </c>
      <c r="AP4" s="140">
        <v>11.4</v>
      </c>
      <c r="AQ4" s="140">
        <v>84.8</v>
      </c>
      <c r="AR4" s="140">
        <v>49.218</v>
      </c>
      <c r="AS4" s="140">
        <v>41.1</v>
      </c>
      <c r="AT4" s="141">
        <v>186.6</v>
      </c>
      <c r="AU4" s="140">
        <v>29.782</v>
      </c>
      <c r="AV4" s="140">
        <v>26.6</v>
      </c>
      <c r="AW4" s="140">
        <v>28.6</v>
      </c>
      <c r="AX4" s="140">
        <v>38.2</v>
      </c>
      <c r="AY4" s="141">
        <v>123.2</v>
      </c>
      <c r="AZ4" s="397">
        <v>29.782</v>
      </c>
      <c r="BA4" s="140">
        <v>26.6</v>
      </c>
      <c r="BB4" s="140">
        <v>28.6</v>
      </c>
      <c r="BC4" s="140">
        <v>37.988</v>
      </c>
      <c r="BD4" s="141">
        <v>122.974</v>
      </c>
      <c r="BE4" s="140">
        <v>15.99</v>
      </c>
      <c r="BF4" s="140">
        <v>15.989580620903</v>
      </c>
      <c r="BG4" s="140">
        <v>20.7</v>
      </c>
      <c r="BH4" s="140">
        <v>26.555</v>
      </c>
      <c r="BI4" s="140">
        <v>47.669</v>
      </c>
      <c r="BJ4" s="140">
        <v>48.596</v>
      </c>
      <c r="BK4" s="141">
        <v>110.893</v>
      </c>
      <c r="BL4" s="141">
        <v>111.82</v>
      </c>
      <c r="BM4" s="140">
        <v>21.179</v>
      </c>
      <c r="BN4" s="140">
        <v>28.305000000000003</v>
      </c>
      <c r="BO4" s="140">
        <v>36.171</v>
      </c>
      <c r="BP4" s="140">
        <v>53.98</v>
      </c>
      <c r="BQ4" s="141">
        <f>+BM4+BN4+BO4+BP4</f>
        <v>139.635</v>
      </c>
    </row>
    <row r="5" spans="1:69" ht="12.75">
      <c r="A5" s="139" t="s">
        <v>517</v>
      </c>
      <c r="B5" s="140">
        <v>3.7</v>
      </c>
      <c r="C5" s="140">
        <v>4.5</v>
      </c>
      <c r="D5" s="140">
        <v>4.9</v>
      </c>
      <c r="E5" s="140">
        <v>9.1</v>
      </c>
      <c r="F5" s="141">
        <v>22.2</v>
      </c>
      <c r="G5" s="140">
        <v>1.3</v>
      </c>
      <c r="H5" s="140">
        <v>2.8</v>
      </c>
      <c r="I5" s="140">
        <v>4.1</v>
      </c>
      <c r="J5" s="140">
        <v>13.8</v>
      </c>
      <c r="K5" s="141">
        <v>22</v>
      </c>
      <c r="L5" s="140">
        <v>3.1</v>
      </c>
      <c r="M5" s="140">
        <v>11.8</v>
      </c>
      <c r="N5" s="140">
        <v>15</v>
      </c>
      <c r="O5" s="140">
        <v>47.5</v>
      </c>
      <c r="P5" s="141">
        <v>77.4</v>
      </c>
      <c r="Q5" s="140">
        <v>7.5</v>
      </c>
      <c r="R5" s="140">
        <v>13.3</v>
      </c>
      <c r="S5" s="140">
        <v>30.2</v>
      </c>
      <c r="T5" s="140">
        <v>28</v>
      </c>
      <c r="U5" s="141">
        <v>79</v>
      </c>
      <c r="V5" s="140">
        <v>27.8</v>
      </c>
      <c r="W5" s="140">
        <v>25.8</v>
      </c>
      <c r="X5" s="140">
        <v>12.3</v>
      </c>
      <c r="Y5" s="140">
        <v>26.3</v>
      </c>
      <c r="Z5" s="141">
        <v>92.2</v>
      </c>
      <c r="AA5" s="140">
        <v>5.7</v>
      </c>
      <c r="AB5" s="140">
        <v>11.5</v>
      </c>
      <c r="AC5" s="140">
        <v>18.4</v>
      </c>
      <c r="AD5" s="140">
        <v>39.2</v>
      </c>
      <c r="AE5" s="141">
        <v>74.8</v>
      </c>
      <c r="AF5" s="140">
        <v>8.849</v>
      </c>
      <c r="AG5" s="140">
        <v>12.691</v>
      </c>
      <c r="AH5" s="140">
        <v>10.853</v>
      </c>
      <c r="AI5" s="140">
        <v>174.009</v>
      </c>
      <c r="AJ5" s="141">
        <v>206.402</v>
      </c>
      <c r="AK5" s="140">
        <v>10.828</v>
      </c>
      <c r="AL5" s="140">
        <v>30.273</v>
      </c>
      <c r="AM5" s="140">
        <v>24.752</v>
      </c>
      <c r="AN5" s="140">
        <v>47.1</v>
      </c>
      <c r="AO5" s="141">
        <v>112.9</v>
      </c>
      <c r="AP5" s="140">
        <v>11.9</v>
      </c>
      <c r="AQ5" s="140">
        <v>23.6</v>
      </c>
      <c r="AR5" s="140">
        <v>27.646</v>
      </c>
      <c r="AS5" s="140">
        <v>44.7</v>
      </c>
      <c r="AT5" s="141">
        <v>107.9</v>
      </c>
      <c r="AU5" s="140">
        <v>17.432</v>
      </c>
      <c r="AV5" s="140">
        <v>33.1</v>
      </c>
      <c r="AW5" s="140">
        <v>17.4</v>
      </c>
      <c r="AX5" s="140">
        <v>34.5</v>
      </c>
      <c r="AY5" s="141">
        <v>102.4</v>
      </c>
      <c r="AZ5" s="397">
        <v>19.901</v>
      </c>
      <c r="BA5" s="140">
        <v>39.5</v>
      </c>
      <c r="BB5" s="140">
        <v>21.8</v>
      </c>
      <c r="BC5" s="140">
        <v>41.968</v>
      </c>
      <c r="BD5" s="141">
        <v>123.207</v>
      </c>
      <c r="BE5" s="140">
        <v>16.492</v>
      </c>
      <c r="BF5" s="140">
        <v>16.492</v>
      </c>
      <c r="BG5" s="140">
        <v>14.8</v>
      </c>
      <c r="BH5" s="140">
        <v>32.167</v>
      </c>
      <c r="BI5" s="140">
        <v>47.401</v>
      </c>
      <c r="BJ5" s="140">
        <v>47.234</v>
      </c>
      <c r="BK5" s="141">
        <v>110.911</v>
      </c>
      <c r="BL5" s="141">
        <v>110.744</v>
      </c>
      <c r="BM5" s="140">
        <v>15.354</v>
      </c>
      <c r="BN5" s="140">
        <v>33.939</v>
      </c>
      <c r="BO5" s="140">
        <v>22.617</v>
      </c>
      <c r="BP5" s="140">
        <v>61.176</v>
      </c>
      <c r="BQ5" s="141">
        <f aca="true" t="shared" si="0" ref="BQ5:BQ10">+BM5+BN5+BO5+BP5</f>
        <v>133.086</v>
      </c>
    </row>
    <row r="6" spans="1:69" ht="12.75">
      <c r="A6" s="139" t="s">
        <v>516</v>
      </c>
      <c r="B6" s="140">
        <v>0.3</v>
      </c>
      <c r="C6" s="140">
        <v>0.9</v>
      </c>
      <c r="D6" s="140">
        <v>1.4</v>
      </c>
      <c r="E6" s="140">
        <v>3</v>
      </c>
      <c r="F6" s="141">
        <v>5.6</v>
      </c>
      <c r="G6" s="140">
        <v>0.6</v>
      </c>
      <c r="H6" s="140">
        <v>1.8</v>
      </c>
      <c r="I6" s="140">
        <v>2</v>
      </c>
      <c r="J6" s="140">
        <v>4.6</v>
      </c>
      <c r="K6" s="141">
        <v>9</v>
      </c>
      <c r="L6" s="140">
        <v>0.3</v>
      </c>
      <c r="M6" s="140">
        <v>1.7</v>
      </c>
      <c r="N6" s="140">
        <v>2.8</v>
      </c>
      <c r="O6" s="140">
        <v>6.3</v>
      </c>
      <c r="P6" s="141">
        <v>11.1</v>
      </c>
      <c r="Q6" s="140">
        <v>0.2</v>
      </c>
      <c r="R6" s="140">
        <v>0.8</v>
      </c>
      <c r="S6" s="140">
        <v>2.5</v>
      </c>
      <c r="T6" s="140">
        <v>11.2</v>
      </c>
      <c r="U6" s="141">
        <v>14.7</v>
      </c>
      <c r="V6" s="140">
        <v>5</v>
      </c>
      <c r="W6" s="140">
        <v>3.5</v>
      </c>
      <c r="X6" s="140">
        <v>4.8</v>
      </c>
      <c r="Y6" s="140">
        <v>72.5</v>
      </c>
      <c r="Z6" s="141">
        <v>85.8</v>
      </c>
      <c r="AA6" s="140">
        <v>3.4</v>
      </c>
      <c r="AB6" s="140">
        <v>3.3</v>
      </c>
      <c r="AC6" s="140">
        <v>2.5</v>
      </c>
      <c r="AD6" s="140">
        <v>3.9</v>
      </c>
      <c r="AE6" s="141">
        <v>13.1</v>
      </c>
      <c r="AF6" s="140">
        <v>1.131</v>
      </c>
      <c r="AG6" s="140">
        <v>1.663</v>
      </c>
      <c r="AH6" s="140">
        <v>7.681</v>
      </c>
      <c r="AI6" s="140">
        <v>18.347</v>
      </c>
      <c r="AJ6" s="141">
        <v>28.822000000000003</v>
      </c>
      <c r="AK6" s="140">
        <v>21.72</v>
      </c>
      <c r="AL6" s="140">
        <v>36.86</v>
      </c>
      <c r="AM6" s="140">
        <v>24.911</v>
      </c>
      <c r="AN6" s="140">
        <v>43.7</v>
      </c>
      <c r="AO6" s="141">
        <v>127.2</v>
      </c>
      <c r="AP6" s="140">
        <v>24.7</v>
      </c>
      <c r="AQ6" s="140">
        <v>10.5</v>
      </c>
      <c r="AR6" s="140">
        <v>8.192</v>
      </c>
      <c r="AS6" s="140">
        <v>19.6</v>
      </c>
      <c r="AT6" s="141">
        <v>63</v>
      </c>
      <c r="AU6" s="140">
        <v>34.258</v>
      </c>
      <c r="AV6" s="140">
        <v>24.4</v>
      </c>
      <c r="AW6" s="140">
        <v>18.5</v>
      </c>
      <c r="AX6" s="140">
        <v>12.2</v>
      </c>
      <c r="AY6" s="141">
        <v>89.4</v>
      </c>
      <c r="AZ6" s="397">
        <v>33.361</v>
      </c>
      <c r="BA6" s="140">
        <v>22.7</v>
      </c>
      <c r="BB6" s="140">
        <v>15.1</v>
      </c>
      <c r="BC6" s="140">
        <v>8.436</v>
      </c>
      <c r="BD6" s="141">
        <v>79.676</v>
      </c>
      <c r="BE6" s="140">
        <v>0.898</v>
      </c>
      <c r="BF6" s="140">
        <v>0.8981</v>
      </c>
      <c r="BG6" s="140">
        <v>0.7</v>
      </c>
      <c r="BH6" s="140">
        <v>9.207</v>
      </c>
      <c r="BI6" s="140">
        <v>7.414</v>
      </c>
      <c r="BJ6" s="140">
        <v>7.486</v>
      </c>
      <c r="BK6" s="141">
        <v>18.22</v>
      </c>
      <c r="BL6" s="141">
        <v>18.292</v>
      </c>
      <c r="BM6" s="140">
        <v>0.929</v>
      </c>
      <c r="BN6" s="140">
        <v>0.7401</v>
      </c>
      <c r="BO6" s="140">
        <v>2.696</v>
      </c>
      <c r="BP6" s="140">
        <v>5.578</v>
      </c>
      <c r="BQ6" s="141">
        <f t="shared" si="0"/>
        <v>9.943100000000001</v>
      </c>
    </row>
    <row r="7" spans="1:70" s="106" customFormat="1" ht="12.75">
      <c r="A7" s="409" t="s">
        <v>62</v>
      </c>
      <c r="B7" s="408">
        <v>0.1</v>
      </c>
      <c r="C7" s="408">
        <v>1.6</v>
      </c>
      <c r="D7" s="408">
        <v>2.8</v>
      </c>
      <c r="E7" s="408">
        <v>2.2</v>
      </c>
      <c r="F7" s="108">
        <v>6.7</v>
      </c>
      <c r="G7" s="408">
        <v>0</v>
      </c>
      <c r="H7" s="408">
        <v>4.3</v>
      </c>
      <c r="I7" s="408">
        <v>5.9</v>
      </c>
      <c r="J7" s="408">
        <v>11.7</v>
      </c>
      <c r="K7" s="108">
        <v>21.9</v>
      </c>
      <c r="L7" s="408">
        <v>5.8</v>
      </c>
      <c r="M7" s="408">
        <v>12.3</v>
      </c>
      <c r="N7" s="408">
        <v>24</v>
      </c>
      <c r="O7" s="408">
        <v>22.5</v>
      </c>
      <c r="P7" s="108">
        <v>64.6</v>
      </c>
      <c r="Q7" s="408">
        <v>14.7</v>
      </c>
      <c r="R7" s="408">
        <v>23</v>
      </c>
      <c r="S7" s="408">
        <v>9</v>
      </c>
      <c r="T7" s="408">
        <v>10.8</v>
      </c>
      <c r="U7" s="108">
        <v>57.5</v>
      </c>
      <c r="V7" s="408">
        <v>1.1</v>
      </c>
      <c r="W7" s="408">
        <v>-0.1</v>
      </c>
      <c r="X7" s="408">
        <v>5.4</v>
      </c>
      <c r="Y7" s="408">
        <v>4.7</v>
      </c>
      <c r="Z7" s="108">
        <v>11.1</v>
      </c>
      <c r="AA7" s="408">
        <v>0.6</v>
      </c>
      <c r="AB7" s="408">
        <v>2.1</v>
      </c>
      <c r="AC7" s="408">
        <v>2.8</v>
      </c>
      <c r="AD7" s="408">
        <v>3.4139948</v>
      </c>
      <c r="AE7" s="108">
        <v>8.913994800000001</v>
      </c>
      <c r="AF7" s="408">
        <v>0.433</v>
      </c>
      <c r="AG7" s="408">
        <v>0.751</v>
      </c>
      <c r="AH7" s="408">
        <v>2.341</v>
      </c>
      <c r="AI7" s="408">
        <v>3.506</v>
      </c>
      <c r="AJ7" s="108">
        <v>7.031000000000001</v>
      </c>
      <c r="AK7" s="408">
        <v>0.878</v>
      </c>
      <c r="AL7" s="408">
        <v>2.487</v>
      </c>
      <c r="AM7" s="408">
        <v>1.76</v>
      </c>
      <c r="AN7" s="408">
        <v>5.1</v>
      </c>
      <c r="AO7" s="108">
        <v>10.2</v>
      </c>
      <c r="AP7" s="408">
        <v>3.4</v>
      </c>
      <c r="AQ7" s="408">
        <v>6.3</v>
      </c>
      <c r="AR7" s="408">
        <v>4.266</v>
      </c>
      <c r="AS7" s="410">
        <v>2.7</v>
      </c>
      <c r="AT7" s="408">
        <v>16.7</v>
      </c>
      <c r="AU7" s="410">
        <v>1.571</v>
      </c>
      <c r="AV7" s="108">
        <v>4.7</v>
      </c>
      <c r="AW7" s="308">
        <v>1.1</v>
      </c>
      <c r="AX7" s="408">
        <v>2.3</v>
      </c>
      <c r="AY7" s="485">
        <v>9.7</v>
      </c>
      <c r="AZ7" s="486"/>
      <c r="BA7" s="485"/>
      <c r="BB7" s="485"/>
      <c r="BC7" s="487"/>
      <c r="BD7" s="485"/>
      <c r="BE7" s="485"/>
      <c r="BF7" s="485"/>
      <c r="BG7" s="485"/>
      <c r="BH7" s="485"/>
      <c r="BI7" s="485"/>
      <c r="BJ7" s="485"/>
      <c r="BK7" s="485"/>
      <c r="BL7" s="485"/>
      <c r="BM7" s="485"/>
      <c r="BN7" s="485"/>
      <c r="BO7" s="485"/>
      <c r="BP7" s="485"/>
      <c r="BQ7" s="485"/>
      <c r="BR7" s="535"/>
    </row>
    <row r="8" spans="1:69" ht="12.75">
      <c r="A8" s="139" t="s">
        <v>195</v>
      </c>
      <c r="B8" s="140">
        <v>0.20000000000000057</v>
      </c>
      <c r="C8" s="140">
        <v>4.1</v>
      </c>
      <c r="D8" s="140">
        <v>2.7</v>
      </c>
      <c r="E8" s="140">
        <v>7.1</v>
      </c>
      <c r="F8" s="141">
        <v>14.1</v>
      </c>
      <c r="G8" s="140">
        <v>1.9</v>
      </c>
      <c r="H8" s="140">
        <v>2.8</v>
      </c>
      <c r="I8" s="140">
        <v>1.5</v>
      </c>
      <c r="J8" s="140">
        <v>4.300000000000008</v>
      </c>
      <c r="K8" s="141">
        <v>10.5</v>
      </c>
      <c r="L8" s="140">
        <v>24.1</v>
      </c>
      <c r="M8" s="140">
        <v>1.3</v>
      </c>
      <c r="N8" s="140">
        <v>1.9</v>
      </c>
      <c r="O8" s="140">
        <v>128.5</v>
      </c>
      <c r="P8" s="141">
        <v>155.8</v>
      </c>
      <c r="Q8" s="140">
        <v>60.9</v>
      </c>
      <c r="R8" s="140">
        <v>1.3</v>
      </c>
      <c r="S8" s="140">
        <v>1.9</v>
      </c>
      <c r="T8" s="140">
        <v>8.100000000000009</v>
      </c>
      <c r="U8" s="141">
        <v>72.2</v>
      </c>
      <c r="V8" s="140">
        <v>0.9000000000000035</v>
      </c>
      <c r="W8" s="140">
        <v>1.2</v>
      </c>
      <c r="X8" s="140">
        <v>3.7</v>
      </c>
      <c r="Y8" s="140">
        <v>7.4</v>
      </c>
      <c r="Z8" s="141">
        <v>13.2</v>
      </c>
      <c r="AA8" s="140">
        <v>0.40000000000000135</v>
      </c>
      <c r="AB8" s="140">
        <v>1.4</v>
      </c>
      <c r="AC8" s="140">
        <v>1.8</v>
      </c>
      <c r="AD8" s="140">
        <v>7.2</v>
      </c>
      <c r="AE8" s="141">
        <v>10.8</v>
      </c>
      <c r="AF8" s="140">
        <v>50.616</v>
      </c>
      <c r="AG8" s="140">
        <v>1.301</v>
      </c>
      <c r="AH8" s="140">
        <v>2.044</v>
      </c>
      <c r="AI8" s="140">
        <v>10.493</v>
      </c>
      <c r="AJ8" s="141">
        <v>64.454</v>
      </c>
      <c r="AK8" s="140">
        <v>0.912</v>
      </c>
      <c r="AL8" s="140">
        <v>26.112</v>
      </c>
      <c r="AM8" s="140">
        <v>1.029</v>
      </c>
      <c r="AN8" s="140">
        <v>210.2</v>
      </c>
      <c r="AO8" s="141">
        <v>238.3</v>
      </c>
      <c r="AP8" s="140">
        <v>0.8</v>
      </c>
      <c r="AQ8" s="140">
        <v>2</v>
      </c>
      <c r="AR8" s="140">
        <v>0.712</v>
      </c>
      <c r="AS8" s="140">
        <v>3.1</v>
      </c>
      <c r="AT8" s="141">
        <v>6.5</v>
      </c>
      <c r="AU8" s="140">
        <v>0.821</v>
      </c>
      <c r="AV8" s="140">
        <v>1.3</v>
      </c>
      <c r="AW8" s="140">
        <v>1.3</v>
      </c>
      <c r="AX8" s="140">
        <v>3.9</v>
      </c>
      <c r="AY8" s="141">
        <v>7.2</v>
      </c>
      <c r="AZ8" s="397">
        <v>0.82</v>
      </c>
      <c r="BA8" s="140">
        <v>1.3</v>
      </c>
      <c r="BB8" s="140">
        <v>1.4</v>
      </c>
      <c r="BC8" s="140">
        <v>3.515</v>
      </c>
      <c r="BD8" s="141">
        <v>6.913</v>
      </c>
      <c r="BE8" s="140">
        <v>3.613</v>
      </c>
      <c r="BF8" s="140">
        <v>3.613</v>
      </c>
      <c r="BG8" s="140">
        <v>22</v>
      </c>
      <c r="BH8" s="140">
        <v>1.3</v>
      </c>
      <c r="BI8" s="140">
        <v>6.456</v>
      </c>
      <c r="BJ8" s="140">
        <v>6.476</v>
      </c>
      <c r="BK8" s="141">
        <v>33.424</v>
      </c>
      <c r="BL8" s="141">
        <v>33.44</v>
      </c>
      <c r="BM8" s="140">
        <v>0.4</v>
      </c>
      <c r="BN8" s="140">
        <v>1.253</v>
      </c>
      <c r="BO8" s="140">
        <v>1.608</v>
      </c>
      <c r="BP8" s="140">
        <v>5.954</v>
      </c>
      <c r="BQ8" s="141">
        <f>+BM8+BN8+BO8+BP8+0.1</f>
        <v>9.315</v>
      </c>
    </row>
    <row r="9" spans="1:69" ht="12.75">
      <c r="A9" s="139" t="s">
        <v>452</v>
      </c>
      <c r="B9" s="140"/>
      <c r="C9" s="140"/>
      <c r="D9" s="140"/>
      <c r="E9" s="140"/>
      <c r="F9" s="141"/>
      <c r="G9" s="140"/>
      <c r="H9" s="140"/>
      <c r="I9" s="140"/>
      <c r="J9" s="140"/>
      <c r="K9" s="141"/>
      <c r="L9" s="140"/>
      <c r="M9" s="140"/>
      <c r="N9" s="140"/>
      <c r="O9" s="140"/>
      <c r="P9" s="141"/>
      <c r="Q9" s="140"/>
      <c r="R9" s="140"/>
      <c r="S9" s="140"/>
      <c r="T9" s="140"/>
      <c r="U9" s="141"/>
      <c r="V9" s="140"/>
      <c r="W9" s="140"/>
      <c r="X9" s="140"/>
      <c r="Y9" s="140"/>
      <c r="Z9" s="141"/>
      <c r="AA9" s="140"/>
      <c r="AB9" s="140"/>
      <c r="AC9" s="140"/>
      <c r="AD9" s="140"/>
      <c r="AE9" s="141"/>
      <c r="AF9" s="140"/>
      <c r="AG9" s="140"/>
      <c r="AH9" s="140"/>
      <c r="AI9" s="140"/>
      <c r="AJ9" s="141"/>
      <c r="AK9" s="140"/>
      <c r="AL9" s="140"/>
      <c r="AM9" s="140"/>
      <c r="AN9" s="140"/>
      <c r="AO9" s="141"/>
      <c r="AP9" s="140"/>
      <c r="AQ9" s="140"/>
      <c r="AR9" s="140"/>
      <c r="AS9" s="140"/>
      <c r="AT9" s="141"/>
      <c r="AU9" s="140"/>
      <c r="AV9" s="140"/>
      <c r="AW9" s="140"/>
      <c r="AX9" s="140"/>
      <c r="AY9" s="141"/>
      <c r="AZ9" s="397"/>
      <c r="BA9" s="140"/>
      <c r="BB9" s="140"/>
      <c r="BC9" s="140">
        <v>0.046</v>
      </c>
      <c r="BD9" s="141">
        <v>0.046</v>
      </c>
      <c r="BE9" s="140">
        <v>-2.803</v>
      </c>
      <c r="BF9" s="140">
        <v>-2.8</v>
      </c>
      <c r="BG9" s="140">
        <v>1.8</v>
      </c>
      <c r="BH9" s="140">
        <v>1.724</v>
      </c>
      <c r="BI9" s="140">
        <v>0</v>
      </c>
      <c r="BJ9" s="140">
        <v>0</v>
      </c>
      <c r="BK9" s="141">
        <v>0.7</v>
      </c>
      <c r="BL9" s="141">
        <v>0.631</v>
      </c>
      <c r="BM9" s="140">
        <v>0</v>
      </c>
      <c r="BN9" s="140">
        <v>0.749</v>
      </c>
      <c r="BO9" s="140">
        <v>-1.534</v>
      </c>
      <c r="BP9" s="140">
        <v>0</v>
      </c>
      <c r="BQ9" s="141">
        <f t="shared" si="0"/>
        <v>-0.785</v>
      </c>
    </row>
    <row r="10" spans="1:69" s="148" customFormat="1" ht="12.75">
      <c r="A10" s="142" t="s">
        <v>205</v>
      </c>
      <c r="B10" s="143">
        <v>8.4</v>
      </c>
      <c r="C10" s="143">
        <v>17.1</v>
      </c>
      <c r="D10" s="143">
        <v>18.8</v>
      </c>
      <c r="E10" s="143">
        <v>27.9</v>
      </c>
      <c r="F10" s="144">
        <v>72.2</v>
      </c>
      <c r="G10" s="143">
        <v>7.2</v>
      </c>
      <c r="H10" s="143">
        <v>17.8</v>
      </c>
      <c r="I10" s="143">
        <v>19.9</v>
      </c>
      <c r="J10" s="143">
        <v>44.7</v>
      </c>
      <c r="K10" s="144">
        <v>89.6</v>
      </c>
      <c r="L10" s="143">
        <v>59.5</v>
      </c>
      <c r="M10" s="143">
        <v>40.1</v>
      </c>
      <c r="N10" s="143">
        <v>50.2</v>
      </c>
      <c r="O10" s="143">
        <v>217.6</v>
      </c>
      <c r="P10" s="144">
        <v>367.4</v>
      </c>
      <c r="Q10" s="143">
        <v>90</v>
      </c>
      <c r="R10" s="143">
        <v>45</v>
      </c>
      <c r="S10" s="143">
        <v>50.6</v>
      </c>
      <c r="T10" s="143">
        <v>68.9</v>
      </c>
      <c r="U10" s="144">
        <v>254.5</v>
      </c>
      <c r="V10" s="143">
        <v>41.2</v>
      </c>
      <c r="W10" s="143">
        <v>37.9</v>
      </c>
      <c r="X10" s="143">
        <v>36.1</v>
      </c>
      <c r="Y10" s="143">
        <v>121.50000000000001</v>
      </c>
      <c r="Z10" s="144">
        <v>236.69999999999996</v>
      </c>
      <c r="AA10" s="143">
        <v>15.4</v>
      </c>
      <c r="AB10" s="143">
        <v>28.4</v>
      </c>
      <c r="AC10" s="143">
        <v>33.9</v>
      </c>
      <c r="AD10" s="143">
        <v>109.47525541400003</v>
      </c>
      <c r="AE10" s="144">
        <v>187.17525541400002</v>
      </c>
      <c r="AF10" s="143">
        <v>68.429</v>
      </c>
      <c r="AG10" s="143">
        <v>32.352000000000004</v>
      </c>
      <c r="AH10" s="143">
        <v>37.019</v>
      </c>
      <c r="AI10" s="143">
        <v>225.62099999999998</v>
      </c>
      <c r="AJ10" s="144">
        <v>363.421</v>
      </c>
      <c r="AK10" s="143">
        <v>51.906</v>
      </c>
      <c r="AL10" s="143">
        <v>109.065</v>
      </c>
      <c r="AM10" s="143">
        <v>76.899</v>
      </c>
      <c r="AN10" s="143">
        <v>324.2</v>
      </c>
      <c r="AO10" s="144">
        <v>562.1</v>
      </c>
      <c r="AP10" s="143">
        <v>52.2</v>
      </c>
      <c r="AQ10" s="143">
        <v>127.3</v>
      </c>
      <c r="AR10" s="143">
        <v>90.034</v>
      </c>
      <c r="AS10" s="143">
        <v>111.2</v>
      </c>
      <c r="AT10" s="144">
        <v>380.7</v>
      </c>
      <c r="AU10" s="143">
        <v>83.864</v>
      </c>
      <c r="AV10" s="143">
        <v>90.1</v>
      </c>
      <c r="AW10" s="143">
        <v>66.89999999999999</v>
      </c>
      <c r="AX10" s="143">
        <v>91.10000000000001</v>
      </c>
      <c r="AY10" s="144">
        <v>332</v>
      </c>
      <c r="AZ10" s="398">
        <v>83.864</v>
      </c>
      <c r="BA10" s="143">
        <v>90.1</v>
      </c>
      <c r="BB10" s="143">
        <v>66.9</v>
      </c>
      <c r="BC10" s="143">
        <v>91.953</v>
      </c>
      <c r="BD10" s="144">
        <v>332.816</v>
      </c>
      <c r="BE10" s="143">
        <v>34.19</v>
      </c>
      <c r="BF10" s="143">
        <v>34.192680620903005</v>
      </c>
      <c r="BG10" s="143">
        <v>60</v>
      </c>
      <c r="BH10" s="143">
        <f>+BH4+BH5+BH6+BH8+BH9</f>
        <v>70.953</v>
      </c>
      <c r="BI10" s="143">
        <v>108.927</v>
      </c>
      <c r="BJ10" s="143">
        <v>109.782</v>
      </c>
      <c r="BK10" s="144">
        <v>274.077</v>
      </c>
      <c r="BL10" s="144">
        <v>274.931</v>
      </c>
      <c r="BM10" s="143">
        <v>37.931</v>
      </c>
      <c r="BN10" s="143">
        <f>+BN4+BN5+BN6+BN8+BN9</f>
        <v>64.9861</v>
      </c>
      <c r="BO10" s="143">
        <f>+BO4+BO5+BO6+BO8+BO9</f>
        <v>61.55799999999999</v>
      </c>
      <c r="BP10" s="143">
        <f>+BP4+BP5+BP6+BP8+BP9</f>
        <v>126.688</v>
      </c>
      <c r="BQ10" s="144">
        <f t="shared" si="0"/>
        <v>291.1631</v>
      </c>
    </row>
    <row r="11" ht="12.75">
      <c r="A11" s="194" t="s">
        <v>364</v>
      </c>
    </row>
    <row r="12" ht="12.75">
      <c r="A12" s="3" t="s">
        <v>523</v>
      </c>
    </row>
    <row r="13" ht="12.75">
      <c r="A13" s="145"/>
    </row>
    <row r="14" spans="1:67" ht="12.75">
      <c r="A14" s="189" t="s">
        <v>373</v>
      </c>
      <c r="B14" s="133" t="s">
        <v>2</v>
      </c>
      <c r="C14" s="133" t="s">
        <v>3</v>
      </c>
      <c r="D14" s="133" t="s">
        <v>4</v>
      </c>
      <c r="E14" s="133" t="s">
        <v>5</v>
      </c>
      <c r="F14" s="133" t="s">
        <v>6</v>
      </c>
      <c r="G14" s="133" t="s">
        <v>12</v>
      </c>
      <c r="H14" s="133" t="s">
        <v>13</v>
      </c>
      <c r="I14" s="133" t="s">
        <v>14</v>
      </c>
      <c r="J14" s="133" t="s">
        <v>15</v>
      </c>
      <c r="K14" s="133" t="s">
        <v>16</v>
      </c>
      <c r="L14" s="133" t="s">
        <v>17</v>
      </c>
      <c r="M14" s="133" t="s">
        <v>18</v>
      </c>
      <c r="N14" s="133" t="s">
        <v>19</v>
      </c>
      <c r="O14" s="133" t="s">
        <v>20</v>
      </c>
      <c r="P14" s="133" t="s">
        <v>21</v>
      </c>
      <c r="Q14" s="133" t="s">
        <v>22</v>
      </c>
      <c r="R14" s="133" t="s">
        <v>23</v>
      </c>
      <c r="S14" s="133" t="s">
        <v>24</v>
      </c>
      <c r="T14" s="133" t="s">
        <v>25</v>
      </c>
      <c r="U14" s="133" t="s">
        <v>26</v>
      </c>
      <c r="V14" s="192" t="s">
        <v>27</v>
      </c>
      <c r="W14" s="192" t="s">
        <v>28</v>
      </c>
      <c r="X14" s="192" t="s">
        <v>29</v>
      </c>
      <c r="Y14" s="192" t="s">
        <v>30</v>
      </c>
      <c r="Z14" s="192" t="s">
        <v>31</v>
      </c>
      <c r="AA14" s="192" t="s">
        <v>32</v>
      </c>
      <c r="AB14" s="192" t="s">
        <v>33</v>
      </c>
      <c r="AC14" s="192" t="s">
        <v>34</v>
      </c>
      <c r="AD14" s="192" t="s">
        <v>271</v>
      </c>
      <c r="AE14" s="192" t="s">
        <v>272</v>
      </c>
      <c r="AF14" s="192" t="s">
        <v>274</v>
      </c>
      <c r="AG14" s="192" t="s">
        <v>276</v>
      </c>
      <c r="AH14" s="192" t="s">
        <v>278</v>
      </c>
      <c r="AI14" s="193" t="s">
        <v>280</v>
      </c>
      <c r="AJ14" s="193" t="s">
        <v>281</v>
      </c>
      <c r="AK14" s="193" t="s">
        <v>289</v>
      </c>
      <c r="AL14" s="193" t="s">
        <v>290</v>
      </c>
      <c r="AM14" s="193" t="s">
        <v>291</v>
      </c>
      <c r="AN14" s="193" t="s">
        <v>292</v>
      </c>
      <c r="AO14" s="193" t="s">
        <v>293</v>
      </c>
      <c r="AP14" s="193" t="s">
        <v>329</v>
      </c>
      <c r="AQ14" s="193" t="s">
        <v>330</v>
      </c>
      <c r="AR14" s="193" t="s">
        <v>331</v>
      </c>
      <c r="AS14" s="193" t="s">
        <v>332</v>
      </c>
      <c r="AT14" s="193" t="s">
        <v>333</v>
      </c>
      <c r="AU14" s="193" t="s">
        <v>448</v>
      </c>
      <c r="AV14" s="193" t="s">
        <v>451</v>
      </c>
      <c r="AW14" s="193" t="s">
        <v>453</v>
      </c>
      <c r="AX14" s="193" t="s">
        <v>454</v>
      </c>
      <c r="AY14" s="193" t="s">
        <v>457</v>
      </c>
      <c r="AZ14" s="399"/>
      <c r="BA14" s="334"/>
      <c r="BB14" s="334"/>
      <c r="BC14" s="334"/>
      <c r="BD14" s="334"/>
      <c r="BE14" s="334"/>
      <c r="BF14" s="334"/>
      <c r="BG14" s="334"/>
      <c r="BH14" s="334"/>
      <c r="BI14" s="334"/>
      <c r="BJ14" s="334"/>
      <c r="BK14" s="334"/>
      <c r="BL14" s="334"/>
      <c r="BM14" s="334"/>
      <c r="BN14" s="334"/>
      <c r="BO14" s="334"/>
    </row>
    <row r="15" spans="1:67" ht="12.75">
      <c r="A15" s="136"/>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8"/>
      <c r="AJ15" s="138"/>
      <c r="AK15" s="138"/>
      <c r="AL15" s="138"/>
      <c r="AM15" s="138"/>
      <c r="AN15" s="138"/>
      <c r="AO15" s="138"/>
      <c r="AP15" s="138"/>
      <c r="AQ15" s="138"/>
      <c r="AR15" s="138"/>
      <c r="AS15" s="138"/>
      <c r="AT15" s="138"/>
      <c r="AU15" s="138"/>
      <c r="AV15" s="138"/>
      <c r="AW15" s="138"/>
      <c r="AX15" s="138"/>
      <c r="AY15" s="138"/>
      <c r="AZ15" s="399"/>
      <c r="BA15" s="334"/>
      <c r="BB15" s="334"/>
      <c r="BC15" s="334"/>
      <c r="BD15" s="334"/>
      <c r="BE15" s="334"/>
      <c r="BF15" s="334"/>
      <c r="BG15" s="334"/>
      <c r="BH15" s="334"/>
      <c r="BI15" s="334"/>
      <c r="BJ15" s="334"/>
      <c r="BK15" s="334"/>
      <c r="BL15" s="334"/>
      <c r="BM15" s="334"/>
      <c r="BN15" s="334"/>
      <c r="BO15" s="334"/>
    </row>
    <row r="16" spans="1:67" ht="12.75">
      <c r="A16" s="190" t="s">
        <v>192</v>
      </c>
      <c r="B16" s="140">
        <v>4.1</v>
      </c>
      <c r="C16" s="140">
        <v>6</v>
      </c>
      <c r="D16" s="140">
        <v>7</v>
      </c>
      <c r="E16" s="140">
        <v>6.5</v>
      </c>
      <c r="F16" s="141">
        <v>23.6</v>
      </c>
      <c r="G16" s="140">
        <v>3.4</v>
      </c>
      <c r="H16" s="140">
        <v>6.1</v>
      </c>
      <c r="I16" s="140">
        <v>6.4</v>
      </c>
      <c r="J16" s="140">
        <v>10.3</v>
      </c>
      <c r="K16" s="141">
        <v>26.2</v>
      </c>
      <c r="L16" s="140">
        <v>26.2</v>
      </c>
      <c r="M16" s="140">
        <v>13</v>
      </c>
      <c r="N16" s="140">
        <v>6.5</v>
      </c>
      <c r="O16" s="140">
        <v>12.8</v>
      </c>
      <c r="P16" s="141">
        <v>58.5</v>
      </c>
      <c r="Q16" s="140">
        <v>6.7</v>
      </c>
      <c r="R16" s="140">
        <v>6.6</v>
      </c>
      <c r="S16" s="140">
        <v>7</v>
      </c>
      <c r="T16" s="140">
        <v>10.8</v>
      </c>
      <c r="U16" s="141">
        <v>31.1</v>
      </c>
      <c r="V16" s="140">
        <v>6.4</v>
      </c>
      <c r="W16" s="140">
        <v>7.5</v>
      </c>
      <c r="X16" s="140">
        <v>9.9</v>
      </c>
      <c r="Y16" s="140">
        <v>10.6</v>
      </c>
      <c r="Z16" s="207">
        <v>34.4</v>
      </c>
      <c r="AA16" s="140">
        <v>5.3</v>
      </c>
      <c r="AB16" s="140">
        <v>10.1</v>
      </c>
      <c r="AC16" s="140">
        <v>8.4</v>
      </c>
      <c r="AD16" s="140">
        <v>55.761260614000015</v>
      </c>
      <c r="AE16" s="207">
        <v>79.56126061400002</v>
      </c>
      <c r="AF16" s="140">
        <v>7.4</v>
      </c>
      <c r="AG16" s="140">
        <v>15.946</v>
      </c>
      <c r="AH16" s="140">
        <v>14.1</v>
      </c>
      <c r="AI16" s="140">
        <v>19.266</v>
      </c>
      <c r="AJ16" s="207">
        <v>56.711999999999996</v>
      </c>
      <c r="AK16" s="140">
        <v>17.568</v>
      </c>
      <c r="AL16" s="140">
        <v>13.333</v>
      </c>
      <c r="AM16" s="140">
        <v>24.447</v>
      </c>
      <c r="AN16" s="140">
        <v>18</v>
      </c>
      <c r="AO16" s="207">
        <v>73.4</v>
      </c>
      <c r="AP16" s="140">
        <v>11.4</v>
      </c>
      <c r="AQ16" s="140">
        <v>84.8</v>
      </c>
      <c r="AR16" s="140">
        <v>12.805</v>
      </c>
      <c r="AS16" s="140">
        <v>20.9</v>
      </c>
      <c r="AT16" s="207">
        <v>129.9</v>
      </c>
      <c r="AU16" s="140">
        <v>11.112</v>
      </c>
      <c r="AV16" s="140">
        <v>16.8</v>
      </c>
      <c r="AW16" s="140">
        <v>17.2</v>
      </c>
      <c r="AX16" s="140">
        <v>24.2</v>
      </c>
      <c r="AY16" s="207">
        <v>69.3</v>
      </c>
      <c r="AZ16" s="400"/>
      <c r="BA16" s="335"/>
      <c r="BB16" s="335"/>
      <c r="BC16" s="335"/>
      <c r="BD16" s="335"/>
      <c r="BE16" s="335"/>
      <c r="BF16" s="335"/>
      <c r="BG16" s="335"/>
      <c r="BH16" s="335"/>
      <c r="BI16" s="335"/>
      <c r="BJ16" s="335"/>
      <c r="BK16" s="335"/>
      <c r="BL16" s="335"/>
      <c r="BM16" s="335"/>
      <c r="BN16" s="335"/>
      <c r="BO16" s="335"/>
    </row>
    <row r="17" spans="1:67" ht="12.75">
      <c r="A17" s="190" t="s">
        <v>193</v>
      </c>
      <c r="B17" s="140">
        <v>3.7</v>
      </c>
      <c r="C17" s="140">
        <v>4.5</v>
      </c>
      <c r="D17" s="140">
        <v>4.9</v>
      </c>
      <c r="E17" s="140">
        <v>9.1</v>
      </c>
      <c r="F17" s="141">
        <v>22.2</v>
      </c>
      <c r="G17" s="140">
        <v>1.3</v>
      </c>
      <c r="H17" s="140">
        <v>2.8</v>
      </c>
      <c r="I17" s="140">
        <v>4.1</v>
      </c>
      <c r="J17" s="140">
        <v>13.8</v>
      </c>
      <c r="K17" s="141">
        <v>22</v>
      </c>
      <c r="L17" s="140">
        <v>3.1</v>
      </c>
      <c r="M17" s="140">
        <v>11.8</v>
      </c>
      <c r="N17" s="140">
        <v>15</v>
      </c>
      <c r="O17" s="140">
        <v>47.5</v>
      </c>
      <c r="P17" s="141">
        <v>77.4</v>
      </c>
      <c r="Q17" s="140">
        <v>7.5</v>
      </c>
      <c r="R17" s="140">
        <v>13.3</v>
      </c>
      <c r="S17" s="140">
        <v>30.2</v>
      </c>
      <c r="T17" s="140">
        <v>28</v>
      </c>
      <c r="U17" s="141">
        <v>79</v>
      </c>
      <c r="V17" s="140">
        <v>27.8</v>
      </c>
      <c r="W17" s="140">
        <v>25.8</v>
      </c>
      <c r="X17" s="140">
        <v>12.3</v>
      </c>
      <c r="Y17" s="140">
        <v>26.3</v>
      </c>
      <c r="Z17" s="207">
        <v>92.2</v>
      </c>
      <c r="AA17" s="140">
        <v>5.7</v>
      </c>
      <c r="AB17" s="140">
        <v>11.5</v>
      </c>
      <c r="AC17" s="140">
        <v>18.4</v>
      </c>
      <c r="AD17" s="140">
        <v>39.2</v>
      </c>
      <c r="AE17" s="207">
        <v>74.8</v>
      </c>
      <c r="AF17" s="140">
        <v>8.849</v>
      </c>
      <c r="AG17" s="140">
        <v>12.691</v>
      </c>
      <c r="AH17" s="140">
        <v>10.853</v>
      </c>
      <c r="AI17" s="140">
        <v>174.009</v>
      </c>
      <c r="AJ17" s="207">
        <v>206.402</v>
      </c>
      <c r="AK17" s="140">
        <v>10.828</v>
      </c>
      <c r="AL17" s="140">
        <v>30.273</v>
      </c>
      <c r="AM17" s="140">
        <v>24.752</v>
      </c>
      <c r="AN17" s="140">
        <v>47.1</v>
      </c>
      <c r="AO17" s="207">
        <v>112.9</v>
      </c>
      <c r="AP17" s="140">
        <v>11.9</v>
      </c>
      <c r="AQ17" s="140">
        <v>23.6</v>
      </c>
      <c r="AR17" s="140">
        <v>16.761</v>
      </c>
      <c r="AS17" s="140">
        <v>19.5</v>
      </c>
      <c r="AT17" s="207">
        <v>71.8</v>
      </c>
      <c r="AU17" s="140">
        <v>5.525</v>
      </c>
      <c r="AV17" s="140">
        <v>18.2</v>
      </c>
      <c r="AW17" s="140">
        <v>7.5</v>
      </c>
      <c r="AX17" s="140">
        <v>20.3</v>
      </c>
      <c r="AY17" s="207">
        <v>51.6</v>
      </c>
      <c r="AZ17" s="400"/>
      <c r="BA17" s="335"/>
      <c r="BB17" s="335"/>
      <c r="BC17" s="335"/>
      <c r="BD17" s="335"/>
      <c r="BE17" s="335"/>
      <c r="BF17" s="335"/>
      <c r="BG17" s="335"/>
      <c r="BH17" s="335"/>
      <c r="BI17" s="335"/>
      <c r="BJ17" s="335"/>
      <c r="BK17" s="335"/>
      <c r="BL17" s="335"/>
      <c r="BM17" s="335"/>
      <c r="BN17" s="335"/>
      <c r="BO17" s="335"/>
    </row>
    <row r="18" spans="1:67" ht="12.75">
      <c r="A18" s="190" t="s">
        <v>432</v>
      </c>
      <c r="B18" s="140">
        <v>0.3</v>
      </c>
      <c r="C18" s="140">
        <v>0.9</v>
      </c>
      <c r="D18" s="140">
        <v>1.4</v>
      </c>
      <c r="E18" s="140">
        <v>3</v>
      </c>
      <c r="F18" s="141">
        <v>5.6</v>
      </c>
      <c r="G18" s="140">
        <v>0.6</v>
      </c>
      <c r="H18" s="140">
        <v>1.8</v>
      </c>
      <c r="I18" s="140">
        <v>2</v>
      </c>
      <c r="J18" s="140">
        <v>4.6</v>
      </c>
      <c r="K18" s="141">
        <v>9</v>
      </c>
      <c r="L18" s="140">
        <v>0.3</v>
      </c>
      <c r="M18" s="140">
        <v>1.7</v>
      </c>
      <c r="N18" s="140">
        <v>2.8</v>
      </c>
      <c r="O18" s="140">
        <v>6.3</v>
      </c>
      <c r="P18" s="141">
        <v>11.1</v>
      </c>
      <c r="Q18" s="140">
        <v>0.2</v>
      </c>
      <c r="R18" s="140">
        <v>0.8</v>
      </c>
      <c r="S18" s="140">
        <v>2.5</v>
      </c>
      <c r="T18" s="140">
        <v>11.2</v>
      </c>
      <c r="U18" s="141">
        <v>14.7</v>
      </c>
      <c r="V18" s="140">
        <v>5</v>
      </c>
      <c r="W18" s="140">
        <v>3.5</v>
      </c>
      <c r="X18" s="140">
        <v>4.8</v>
      </c>
      <c r="Y18" s="140">
        <v>72.5</v>
      </c>
      <c r="Z18" s="207">
        <v>85.8</v>
      </c>
      <c r="AA18" s="140">
        <v>3.4</v>
      </c>
      <c r="AB18" s="140">
        <v>3.3</v>
      </c>
      <c r="AC18" s="140">
        <v>2.5</v>
      </c>
      <c r="AD18" s="140">
        <v>3.9</v>
      </c>
      <c r="AE18" s="207">
        <v>13.1</v>
      </c>
      <c r="AF18" s="140">
        <v>1.131</v>
      </c>
      <c r="AG18" s="140">
        <v>1.663</v>
      </c>
      <c r="AH18" s="140">
        <v>7.681</v>
      </c>
      <c r="AI18" s="140">
        <v>18.347</v>
      </c>
      <c r="AJ18" s="207">
        <v>28.822000000000003</v>
      </c>
      <c r="AK18" s="140">
        <v>21.72</v>
      </c>
      <c r="AL18" s="140">
        <v>36.86</v>
      </c>
      <c r="AM18" s="140">
        <v>24.911</v>
      </c>
      <c r="AN18" s="140">
        <v>43.7</v>
      </c>
      <c r="AO18" s="207">
        <v>127.2</v>
      </c>
      <c r="AP18" s="140">
        <v>24.7</v>
      </c>
      <c r="AQ18" s="140">
        <v>10.5</v>
      </c>
      <c r="AR18" s="140">
        <v>8.192</v>
      </c>
      <c r="AS18" s="140">
        <v>19.6</v>
      </c>
      <c r="AT18" s="207">
        <v>63</v>
      </c>
      <c r="AU18" s="140">
        <v>34.258</v>
      </c>
      <c r="AV18" s="140">
        <v>24.4</v>
      </c>
      <c r="AW18" s="140">
        <v>18.5</v>
      </c>
      <c r="AX18" s="140">
        <v>12.2</v>
      </c>
      <c r="AY18" s="207">
        <v>89.4</v>
      </c>
      <c r="AZ18" s="400"/>
      <c r="BA18" s="335"/>
      <c r="BB18" s="335"/>
      <c r="BC18" s="335"/>
      <c r="BD18" s="335"/>
      <c r="BE18" s="335"/>
      <c r="BF18" s="335"/>
      <c r="BG18" s="335"/>
      <c r="BH18" s="335"/>
      <c r="BI18" s="335"/>
      <c r="BJ18" s="335"/>
      <c r="BK18" s="335"/>
      <c r="BL18" s="335"/>
      <c r="BM18" s="335"/>
      <c r="BN18" s="335"/>
      <c r="BO18" s="335"/>
    </row>
    <row r="19" spans="1:67" ht="12.75">
      <c r="A19" s="190" t="s">
        <v>62</v>
      </c>
      <c r="B19" s="140">
        <v>0.1</v>
      </c>
      <c r="C19" s="140">
        <v>1.6</v>
      </c>
      <c r="D19" s="140">
        <v>2.8</v>
      </c>
      <c r="E19" s="140">
        <v>2.2</v>
      </c>
      <c r="F19" s="141">
        <v>6.7</v>
      </c>
      <c r="G19" s="140">
        <v>0</v>
      </c>
      <c r="H19" s="140">
        <v>4.3</v>
      </c>
      <c r="I19" s="140">
        <v>5.9</v>
      </c>
      <c r="J19" s="140">
        <v>11.7</v>
      </c>
      <c r="K19" s="141">
        <v>21.9</v>
      </c>
      <c r="L19" s="140">
        <v>5.8</v>
      </c>
      <c r="M19" s="140">
        <v>12.3</v>
      </c>
      <c r="N19" s="140">
        <v>24</v>
      </c>
      <c r="O19" s="140">
        <v>22.5</v>
      </c>
      <c r="P19" s="141">
        <v>64.6</v>
      </c>
      <c r="Q19" s="140">
        <v>14.7</v>
      </c>
      <c r="R19" s="140">
        <v>23</v>
      </c>
      <c r="S19" s="140">
        <v>9</v>
      </c>
      <c r="T19" s="140">
        <v>10.8</v>
      </c>
      <c r="U19" s="141">
        <v>57.5</v>
      </c>
      <c r="V19" s="140">
        <v>1.1</v>
      </c>
      <c r="W19" s="140">
        <v>-0.1</v>
      </c>
      <c r="X19" s="140">
        <v>5.4</v>
      </c>
      <c r="Y19" s="140">
        <v>4.7</v>
      </c>
      <c r="Z19" s="207">
        <v>11.1</v>
      </c>
      <c r="AA19" s="140">
        <v>0.6</v>
      </c>
      <c r="AB19" s="140">
        <v>2.1</v>
      </c>
      <c r="AC19" s="140">
        <v>2.8</v>
      </c>
      <c r="AD19" s="140">
        <v>3.4139948</v>
      </c>
      <c r="AE19" s="207">
        <v>8.913994800000001</v>
      </c>
      <c r="AF19" s="140">
        <v>0.433</v>
      </c>
      <c r="AG19" s="140">
        <v>0.751</v>
      </c>
      <c r="AH19" s="140">
        <v>2.341</v>
      </c>
      <c r="AI19" s="140">
        <v>3.506</v>
      </c>
      <c r="AJ19" s="207">
        <v>7.031000000000001</v>
      </c>
      <c r="AK19" s="140">
        <v>0.878</v>
      </c>
      <c r="AL19" s="140">
        <v>2.487</v>
      </c>
      <c r="AM19" s="140">
        <v>1.76</v>
      </c>
      <c r="AN19" s="140">
        <v>5.1</v>
      </c>
      <c r="AO19" s="207">
        <v>10.2</v>
      </c>
      <c r="AP19" s="140">
        <v>3.4</v>
      </c>
      <c r="AQ19" s="140">
        <v>6.3</v>
      </c>
      <c r="AR19" s="140">
        <v>4.266</v>
      </c>
      <c r="AS19" s="140">
        <v>2.7</v>
      </c>
      <c r="AT19" s="207">
        <v>16.7</v>
      </c>
      <c r="AU19" s="140">
        <v>1.571</v>
      </c>
      <c r="AV19" s="140">
        <v>4.7</v>
      </c>
      <c r="AW19" s="140">
        <v>1.1</v>
      </c>
      <c r="AX19" s="140">
        <v>2.3</v>
      </c>
      <c r="AY19" s="207">
        <v>9.8</v>
      </c>
      <c r="AZ19" s="400"/>
      <c r="BA19" s="335"/>
      <c r="BB19" s="335"/>
      <c r="BC19" s="335"/>
      <c r="BD19" s="335"/>
      <c r="BE19" s="335"/>
      <c r="BF19" s="335"/>
      <c r="BG19" s="335"/>
      <c r="BH19" s="335"/>
      <c r="BI19" s="335"/>
      <c r="BJ19" s="335"/>
      <c r="BK19" s="335"/>
      <c r="BL19" s="335"/>
      <c r="BM19" s="335"/>
      <c r="BN19" s="335"/>
      <c r="BO19" s="335"/>
    </row>
    <row r="20" spans="1:67" ht="12.75">
      <c r="A20" s="190" t="s">
        <v>195</v>
      </c>
      <c r="B20" s="140">
        <v>0.20000000000000057</v>
      </c>
      <c r="C20" s="140">
        <v>4.1</v>
      </c>
      <c r="D20" s="140">
        <v>2.7</v>
      </c>
      <c r="E20" s="140">
        <v>7.1</v>
      </c>
      <c r="F20" s="141">
        <v>14.1</v>
      </c>
      <c r="G20" s="140">
        <v>1.9</v>
      </c>
      <c r="H20" s="140">
        <v>2.8</v>
      </c>
      <c r="I20" s="140">
        <v>1.5</v>
      </c>
      <c r="J20" s="140">
        <v>4.300000000000008</v>
      </c>
      <c r="K20" s="141">
        <v>10.5</v>
      </c>
      <c r="L20" s="140">
        <v>24.1</v>
      </c>
      <c r="M20" s="140">
        <v>1.3</v>
      </c>
      <c r="N20" s="140">
        <v>1.9</v>
      </c>
      <c r="O20" s="140">
        <v>128.5</v>
      </c>
      <c r="P20" s="141">
        <v>155.8</v>
      </c>
      <c r="Q20" s="140">
        <v>60.9</v>
      </c>
      <c r="R20" s="140">
        <v>1.3</v>
      </c>
      <c r="S20" s="140">
        <v>1.9</v>
      </c>
      <c r="T20" s="140">
        <v>8.100000000000009</v>
      </c>
      <c r="U20" s="141">
        <v>72.2</v>
      </c>
      <c r="V20" s="140">
        <v>0.9000000000000035</v>
      </c>
      <c r="W20" s="140">
        <v>1.2</v>
      </c>
      <c r="X20" s="140">
        <v>3.7</v>
      </c>
      <c r="Y20" s="140">
        <v>7.4</v>
      </c>
      <c r="Z20" s="207">
        <v>13.2</v>
      </c>
      <c r="AA20" s="140">
        <v>0.40000000000000135</v>
      </c>
      <c r="AB20" s="140">
        <v>1.4</v>
      </c>
      <c r="AC20" s="140">
        <v>1.8</v>
      </c>
      <c r="AD20" s="140">
        <v>7.2</v>
      </c>
      <c r="AE20" s="207">
        <v>10.8</v>
      </c>
      <c r="AF20" s="140">
        <v>50.616</v>
      </c>
      <c r="AG20" s="140">
        <v>1.301</v>
      </c>
      <c r="AH20" s="140">
        <v>2.044</v>
      </c>
      <c r="AI20" s="140">
        <v>10.493</v>
      </c>
      <c r="AJ20" s="207">
        <v>64.454</v>
      </c>
      <c r="AK20" s="140">
        <v>0.912</v>
      </c>
      <c r="AL20" s="140">
        <v>26.112</v>
      </c>
      <c r="AM20" s="140">
        <v>1.029</v>
      </c>
      <c r="AN20" s="140">
        <v>210.2</v>
      </c>
      <c r="AO20" s="207">
        <v>238.3</v>
      </c>
      <c r="AP20" s="140">
        <v>0.8</v>
      </c>
      <c r="AQ20" s="140">
        <v>2</v>
      </c>
      <c r="AR20" s="140">
        <v>0.49</v>
      </c>
      <c r="AS20" s="140">
        <v>2.7</v>
      </c>
      <c r="AT20" s="207">
        <v>6</v>
      </c>
      <c r="AU20" s="140">
        <v>0.842</v>
      </c>
      <c r="AV20" s="140">
        <v>1.1</v>
      </c>
      <c r="AW20" s="140">
        <v>1.2</v>
      </c>
      <c r="AX20" s="140">
        <v>2.7</v>
      </c>
      <c r="AY20" s="207">
        <v>5.8</v>
      </c>
      <c r="AZ20" s="400"/>
      <c r="BA20" s="335"/>
      <c r="BB20" s="335"/>
      <c r="BC20" s="335"/>
      <c r="BD20" s="335"/>
      <c r="BE20" s="335"/>
      <c r="BF20" s="335"/>
      <c r="BG20" s="335"/>
      <c r="BH20" s="335"/>
      <c r="BI20" s="335"/>
      <c r="BJ20" s="335"/>
      <c r="BK20" s="335"/>
      <c r="BL20" s="335"/>
      <c r="BM20" s="335"/>
      <c r="BN20" s="335"/>
      <c r="BO20" s="335"/>
    </row>
    <row r="21" spans="1:67" s="148" customFormat="1" ht="12.75">
      <c r="A21" s="191" t="s">
        <v>205</v>
      </c>
      <c r="B21" s="143">
        <v>8.4</v>
      </c>
      <c r="C21" s="143">
        <v>17.1</v>
      </c>
      <c r="D21" s="143">
        <v>18.8</v>
      </c>
      <c r="E21" s="143">
        <v>27.9</v>
      </c>
      <c r="F21" s="144">
        <v>72.2</v>
      </c>
      <c r="G21" s="143">
        <v>7.2</v>
      </c>
      <c r="H21" s="143">
        <v>17.8</v>
      </c>
      <c r="I21" s="143">
        <v>19.9</v>
      </c>
      <c r="J21" s="143">
        <v>44.7</v>
      </c>
      <c r="K21" s="144">
        <v>89.6</v>
      </c>
      <c r="L21" s="143">
        <v>59.5</v>
      </c>
      <c r="M21" s="143">
        <v>40.1</v>
      </c>
      <c r="N21" s="143">
        <v>50.2</v>
      </c>
      <c r="O21" s="143">
        <v>217.6</v>
      </c>
      <c r="P21" s="144">
        <v>367.4</v>
      </c>
      <c r="Q21" s="143">
        <v>90</v>
      </c>
      <c r="R21" s="143">
        <v>45</v>
      </c>
      <c r="S21" s="143">
        <v>50.6</v>
      </c>
      <c r="T21" s="143">
        <v>68.9</v>
      </c>
      <c r="U21" s="144">
        <v>254.5</v>
      </c>
      <c r="V21" s="143">
        <v>41.2</v>
      </c>
      <c r="W21" s="143">
        <v>37.9</v>
      </c>
      <c r="X21" s="143">
        <v>36.1</v>
      </c>
      <c r="Y21" s="143">
        <v>121.50000000000001</v>
      </c>
      <c r="Z21" s="208">
        <v>236.69999999999996</v>
      </c>
      <c r="AA21" s="143">
        <v>15.4</v>
      </c>
      <c r="AB21" s="143">
        <v>28.4</v>
      </c>
      <c r="AC21" s="143">
        <v>33.9</v>
      </c>
      <c r="AD21" s="143">
        <v>109.47525541400003</v>
      </c>
      <c r="AE21" s="208">
        <v>187.17525541400002</v>
      </c>
      <c r="AF21" s="143">
        <v>68.429</v>
      </c>
      <c r="AG21" s="143">
        <v>32.352000000000004</v>
      </c>
      <c r="AH21" s="143">
        <v>37.019</v>
      </c>
      <c r="AI21" s="143">
        <v>225.62099999999998</v>
      </c>
      <c r="AJ21" s="208">
        <v>363.421</v>
      </c>
      <c r="AK21" s="143">
        <v>51.906</v>
      </c>
      <c r="AL21" s="143">
        <v>109.065</v>
      </c>
      <c r="AM21" s="143">
        <v>76.899</v>
      </c>
      <c r="AN21" s="143">
        <v>324.2</v>
      </c>
      <c r="AO21" s="208">
        <v>562.1</v>
      </c>
      <c r="AP21" s="143">
        <v>52.2</v>
      </c>
      <c r="AQ21" s="143">
        <v>127.3</v>
      </c>
      <c r="AR21" s="143">
        <v>42.513999999999996</v>
      </c>
      <c r="AS21" s="143">
        <v>65.4</v>
      </c>
      <c r="AT21" s="208">
        <v>287.4</v>
      </c>
      <c r="AU21" s="143">
        <v>53.308</v>
      </c>
      <c r="AV21" s="143">
        <v>65.19999999999999</v>
      </c>
      <c r="AW21" s="143">
        <v>45.50000000000001</v>
      </c>
      <c r="AX21" s="143">
        <v>61.7</v>
      </c>
      <c r="AY21" s="208">
        <v>225.8</v>
      </c>
      <c r="AZ21" s="401"/>
      <c r="BA21" s="336"/>
      <c r="BB21" s="336"/>
      <c r="BC21" s="336"/>
      <c r="BD21" s="336"/>
      <c r="BE21" s="336"/>
      <c r="BF21" s="336"/>
      <c r="BG21" s="336"/>
      <c r="BH21" s="336"/>
      <c r="BI21" s="336"/>
      <c r="BJ21" s="336"/>
      <c r="BK21" s="336"/>
      <c r="BL21" s="336"/>
      <c r="BM21" s="336"/>
      <c r="BN21" s="336"/>
      <c r="BO21" s="336"/>
    </row>
    <row r="22" ht="12.75"/>
    <row r="23" ht="12.75">
      <c r="A23" s="403"/>
    </row>
    <row r="24" ht="38.25" hidden="1">
      <c r="A24" s="404" t="s">
        <v>519</v>
      </c>
    </row>
    <row r="25" ht="38.25" hidden="1">
      <c r="A25" s="404" t="s">
        <v>520</v>
      </c>
    </row>
    <row r="26" ht="38.25" hidden="1">
      <c r="A26" s="404" t="s">
        <v>521</v>
      </c>
    </row>
    <row r="27" ht="63.75" hidden="1">
      <c r="A27" s="403" t="s">
        <v>522</v>
      </c>
    </row>
  </sheetData>
  <sheetProtection/>
  <printOptions/>
  <pageMargins left="0.75" right="0.75" top="1" bottom="1" header="0.5" footer="0.5"/>
  <pageSetup fitToHeight="1" fitToWidth="1" horizontalDpi="300" verticalDpi="300" orientation="landscape" paperSize="9" scale="44" r:id="rId1"/>
</worksheet>
</file>

<file path=xl/worksheets/sheet19.xml><?xml version="1.0" encoding="utf-8"?>
<worksheet xmlns="http://schemas.openxmlformats.org/spreadsheetml/2006/main" xmlns:r="http://schemas.openxmlformats.org/officeDocument/2006/relationships">
  <sheetPr>
    <tabColor indexed="47"/>
    <pageSetUpPr fitToPage="1"/>
  </sheetPr>
  <dimension ref="A1:BI35"/>
  <sheetViews>
    <sheetView zoomScalePageLayoutView="0" workbookViewId="0" topLeftCell="A1">
      <pane xSplit="1" ySplit="3" topLeftCell="BC4" activePane="bottomRight" state="frozen"/>
      <selection pane="topLeft" activeCell="V51" sqref="V51"/>
      <selection pane="topRight" activeCell="V51" sqref="V51"/>
      <selection pane="bottomLeft" activeCell="V51" sqref="V51"/>
      <selection pane="bottomRight" activeCell="A1" sqref="A1"/>
    </sheetView>
  </sheetViews>
  <sheetFormatPr defaultColWidth="9.140625" defaultRowHeight="12.75" zeroHeight="1" outlineLevelCol="1"/>
  <cols>
    <col min="1" max="1" width="45.28125" style="135" customWidth="1"/>
    <col min="2" max="21" width="12.00390625" style="135" hidden="1" customWidth="1" outlineLevel="1"/>
    <col min="22" max="22" width="12.00390625" style="135" customWidth="1" collapsed="1"/>
    <col min="23" max="57" width="12.00390625" style="135" customWidth="1"/>
    <col min="58" max="60" width="10.140625" style="135" bestFit="1" customWidth="1"/>
    <col min="61" max="16384" width="9.140625" style="135" customWidth="1"/>
  </cols>
  <sheetData>
    <row r="1" ht="12.75">
      <c r="A1" s="148" t="s">
        <v>208</v>
      </c>
    </row>
    <row r="2" ht="12.75"/>
    <row r="3" spans="1:61" ht="12.75" customHeight="1">
      <c r="A3" s="149"/>
      <c r="B3" s="134" t="s">
        <v>2</v>
      </c>
      <c r="C3" s="134" t="s">
        <v>3</v>
      </c>
      <c r="D3" s="134" t="s">
        <v>4</v>
      </c>
      <c r="E3" s="134" t="s">
        <v>5</v>
      </c>
      <c r="F3" s="134" t="s">
        <v>6</v>
      </c>
      <c r="G3" s="134" t="s">
        <v>12</v>
      </c>
      <c r="H3" s="134" t="s">
        <v>13</v>
      </c>
      <c r="I3" s="134" t="s">
        <v>14</v>
      </c>
      <c r="J3" s="134" t="s">
        <v>15</v>
      </c>
      <c r="K3" s="134" t="s">
        <v>16</v>
      </c>
      <c r="L3" s="134" t="s">
        <v>17</v>
      </c>
      <c r="M3" s="134" t="s">
        <v>18</v>
      </c>
      <c r="N3" s="134" t="s">
        <v>19</v>
      </c>
      <c r="O3" s="134" t="s">
        <v>20</v>
      </c>
      <c r="P3" s="134" t="s">
        <v>21</v>
      </c>
      <c r="Q3" s="134" t="s">
        <v>22</v>
      </c>
      <c r="R3" s="134" t="s">
        <v>23</v>
      </c>
      <c r="S3" s="134" t="s">
        <v>24</v>
      </c>
      <c r="T3" s="134" t="s">
        <v>25</v>
      </c>
      <c r="U3" s="134" t="s">
        <v>26</v>
      </c>
      <c r="V3" s="134" t="s">
        <v>27</v>
      </c>
      <c r="W3" s="134" t="s">
        <v>28</v>
      </c>
      <c r="X3" s="134" t="s">
        <v>29</v>
      </c>
      <c r="Y3" s="134" t="s">
        <v>30</v>
      </c>
      <c r="Z3" s="134" t="s">
        <v>31</v>
      </c>
      <c r="AA3" s="134" t="s">
        <v>32</v>
      </c>
      <c r="AB3" s="134" t="s">
        <v>33</v>
      </c>
      <c r="AC3" s="134" t="s">
        <v>34</v>
      </c>
      <c r="AD3" s="134" t="s">
        <v>271</v>
      </c>
      <c r="AE3" s="134" t="s">
        <v>272</v>
      </c>
      <c r="AF3" s="134" t="s">
        <v>274</v>
      </c>
      <c r="AG3" s="134" t="s">
        <v>276</v>
      </c>
      <c r="AH3" s="134" t="s">
        <v>278</v>
      </c>
      <c r="AI3" s="134" t="s">
        <v>280</v>
      </c>
      <c r="AJ3" s="134" t="s">
        <v>281</v>
      </c>
      <c r="AK3" s="134" t="s">
        <v>289</v>
      </c>
      <c r="AL3" s="134" t="s">
        <v>290</v>
      </c>
      <c r="AM3" s="134" t="s">
        <v>291</v>
      </c>
      <c r="AN3" s="134" t="s">
        <v>292</v>
      </c>
      <c r="AO3" s="134" t="s">
        <v>293</v>
      </c>
      <c r="AP3" s="134" t="s">
        <v>329</v>
      </c>
      <c r="AQ3" s="134" t="s">
        <v>330</v>
      </c>
      <c r="AR3" s="134" t="s">
        <v>331</v>
      </c>
      <c r="AS3" s="134" t="s">
        <v>332</v>
      </c>
      <c r="AT3" s="134" t="s">
        <v>333</v>
      </c>
      <c r="AU3" s="134" t="s">
        <v>448</v>
      </c>
      <c r="AV3" s="134" t="s">
        <v>451</v>
      </c>
      <c r="AW3" s="134" t="s">
        <v>453</v>
      </c>
      <c r="AX3" s="134" t="s">
        <v>454</v>
      </c>
      <c r="AY3" s="134" t="s">
        <v>457</v>
      </c>
      <c r="AZ3" s="134" t="s">
        <v>495</v>
      </c>
      <c r="BA3" s="134" t="s">
        <v>554</v>
      </c>
      <c r="BB3" s="134" t="s">
        <v>561</v>
      </c>
      <c r="BC3" s="134" t="s">
        <v>570</v>
      </c>
      <c r="BD3" s="134" t="s">
        <v>574</v>
      </c>
      <c r="BE3" s="134" t="s">
        <v>595</v>
      </c>
      <c r="BF3" s="134" t="s">
        <v>605</v>
      </c>
      <c r="BG3" s="134" t="s">
        <v>617</v>
      </c>
      <c r="BH3" s="134" t="s">
        <v>619</v>
      </c>
      <c r="BI3" s="134" t="s">
        <v>620</v>
      </c>
    </row>
    <row r="4" spans="1:61" ht="12.75" customHeight="1">
      <c r="A4" s="150"/>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row>
    <row r="5" spans="1:61" ht="12.75" customHeight="1">
      <c r="A5" s="151" t="s">
        <v>209</v>
      </c>
      <c r="B5" s="140">
        <v>25.8</v>
      </c>
      <c r="C5" s="140">
        <v>27.3</v>
      </c>
      <c r="D5" s="140">
        <v>25.3</v>
      </c>
      <c r="E5" s="140">
        <v>19.4</v>
      </c>
      <c r="F5" s="141">
        <v>24.45</v>
      </c>
      <c r="G5" s="140">
        <v>21.1</v>
      </c>
      <c r="H5" s="140">
        <v>25</v>
      </c>
      <c r="I5" s="140">
        <v>27</v>
      </c>
      <c r="J5" s="140">
        <v>26.8</v>
      </c>
      <c r="K5" s="141">
        <v>24.975</v>
      </c>
      <c r="L5" s="140">
        <v>31.5</v>
      </c>
      <c r="M5" s="140">
        <v>26</v>
      </c>
      <c r="N5" s="140">
        <v>28.4</v>
      </c>
      <c r="O5" s="140">
        <v>29.4</v>
      </c>
      <c r="P5" s="141">
        <v>28.825</v>
      </c>
      <c r="Q5" s="140">
        <v>32</v>
      </c>
      <c r="R5" s="140">
        <v>35.4</v>
      </c>
      <c r="S5" s="140">
        <v>41.5</v>
      </c>
      <c r="T5" s="140">
        <v>44</v>
      </c>
      <c r="U5" s="141">
        <v>38.3</v>
      </c>
      <c r="V5" s="140">
        <v>47.5</v>
      </c>
      <c r="W5" s="140">
        <v>51.6</v>
      </c>
      <c r="X5" s="140">
        <v>61.5</v>
      </c>
      <c r="Y5" s="140">
        <v>56.9</v>
      </c>
      <c r="Z5" s="141">
        <v>54.5</v>
      </c>
      <c r="AA5" s="140">
        <v>61.8</v>
      </c>
      <c r="AB5" s="140">
        <v>69.6</v>
      </c>
      <c r="AC5" s="140">
        <v>69.5</v>
      </c>
      <c r="AD5" s="140">
        <v>59.6</v>
      </c>
      <c r="AE5" s="141">
        <v>65.1</v>
      </c>
      <c r="AF5" s="140">
        <v>57.8</v>
      </c>
      <c r="AG5" s="140">
        <v>68.8</v>
      </c>
      <c r="AH5" s="140">
        <v>74.9</v>
      </c>
      <c r="AI5" s="140">
        <v>88.5</v>
      </c>
      <c r="AJ5" s="141">
        <v>72.4</v>
      </c>
      <c r="AK5" s="140">
        <v>96.9</v>
      </c>
      <c r="AL5" s="140">
        <v>121.2</v>
      </c>
      <c r="AM5" s="140">
        <v>114.8</v>
      </c>
      <c r="AN5" s="140">
        <v>54.9</v>
      </c>
      <c r="AO5" s="141">
        <v>97.3</v>
      </c>
      <c r="AP5" s="140">
        <v>44.4</v>
      </c>
      <c r="AQ5" s="140">
        <v>58.8</v>
      </c>
      <c r="AR5" s="140">
        <v>68.3</v>
      </c>
      <c r="AS5" s="140">
        <v>74.5</v>
      </c>
      <c r="AT5" s="141">
        <v>61.7</v>
      </c>
      <c r="AU5" s="140">
        <v>76.4</v>
      </c>
      <c r="AV5" s="140">
        <v>78.2</v>
      </c>
      <c r="AW5" s="140">
        <v>76.9</v>
      </c>
      <c r="AX5" s="140">
        <v>86.5</v>
      </c>
      <c r="AY5" s="141">
        <v>79.5</v>
      </c>
      <c r="AZ5" s="140">
        <v>105.4</v>
      </c>
      <c r="BA5" s="140">
        <v>117</v>
      </c>
      <c r="BB5" s="140">
        <v>113.4</v>
      </c>
      <c r="BC5" s="140">
        <v>109.4</v>
      </c>
      <c r="BD5" s="141">
        <v>111.3</v>
      </c>
      <c r="BE5" s="505">
        <v>118.6</v>
      </c>
      <c r="BF5" s="140">
        <v>108.3</v>
      </c>
      <c r="BG5" s="140">
        <v>109.5</v>
      </c>
      <c r="BH5" s="140">
        <v>110.1</v>
      </c>
      <c r="BI5" s="141">
        <v>111.7</v>
      </c>
    </row>
    <row r="6" spans="1:61" ht="12.75" customHeight="1">
      <c r="A6" s="151" t="s">
        <v>210</v>
      </c>
      <c r="B6" s="140">
        <v>23.7</v>
      </c>
      <c r="C6" s="140">
        <v>25.4</v>
      </c>
      <c r="D6" s="140">
        <v>24.1</v>
      </c>
      <c r="E6" s="140">
        <v>18.8</v>
      </c>
      <c r="F6" s="141">
        <v>23</v>
      </c>
      <c r="G6" s="140">
        <v>19.8</v>
      </c>
      <c r="H6" s="140">
        <v>23.6</v>
      </c>
      <c r="I6" s="140">
        <v>25.8</v>
      </c>
      <c r="J6" s="140">
        <v>25.5</v>
      </c>
      <c r="K6" s="141">
        <v>23.675</v>
      </c>
      <c r="L6" s="140">
        <v>29.3</v>
      </c>
      <c r="M6" s="140">
        <v>23.9</v>
      </c>
      <c r="N6" s="140">
        <v>27.1</v>
      </c>
      <c r="O6" s="140">
        <v>28</v>
      </c>
      <c r="P6" s="141">
        <v>27.075</v>
      </c>
      <c r="Q6" s="140">
        <v>28.9</v>
      </c>
      <c r="R6" s="140">
        <v>32.5</v>
      </c>
      <c r="S6" s="140">
        <v>37.4</v>
      </c>
      <c r="T6" s="140">
        <v>38.9</v>
      </c>
      <c r="U6" s="141">
        <v>34.5</v>
      </c>
      <c r="V6" s="140">
        <v>43.1</v>
      </c>
      <c r="W6" s="140">
        <v>48.4</v>
      </c>
      <c r="X6" s="140">
        <v>57.3</v>
      </c>
      <c r="Y6" s="140">
        <v>54.1</v>
      </c>
      <c r="Z6" s="141">
        <v>50.9</v>
      </c>
      <c r="AA6" s="140">
        <v>58.3</v>
      </c>
      <c r="AB6" s="140">
        <v>64.9</v>
      </c>
      <c r="AC6" s="140">
        <v>65.7</v>
      </c>
      <c r="AD6" s="140">
        <v>56.5</v>
      </c>
      <c r="AE6" s="141">
        <v>61.4</v>
      </c>
      <c r="AF6" s="140">
        <v>58.3</v>
      </c>
      <c r="AG6" s="140">
        <v>65.3</v>
      </c>
      <c r="AH6" s="140">
        <v>72.3</v>
      </c>
      <c r="AI6" s="140">
        <v>85.9</v>
      </c>
      <c r="AJ6" s="141">
        <v>69.4</v>
      </c>
      <c r="AK6" s="140">
        <v>93.2</v>
      </c>
      <c r="AL6" s="140">
        <v>117.4</v>
      </c>
      <c r="AM6" s="140">
        <v>113.3</v>
      </c>
      <c r="AN6" s="140">
        <v>54.1</v>
      </c>
      <c r="AO6" s="141">
        <v>94.8</v>
      </c>
      <c r="AP6" s="140">
        <v>43.7</v>
      </c>
      <c r="AQ6" s="140">
        <v>58.1</v>
      </c>
      <c r="AR6" s="140">
        <v>68.2</v>
      </c>
      <c r="AS6" s="140">
        <v>74.3</v>
      </c>
      <c r="AT6" s="141">
        <v>61.2</v>
      </c>
      <c r="AU6" s="140">
        <v>75.4</v>
      </c>
      <c r="AV6" s="140">
        <v>76.9</v>
      </c>
      <c r="AW6" s="140">
        <v>75.5</v>
      </c>
      <c r="AX6" s="140">
        <v>85.3</v>
      </c>
      <c r="AY6" s="141">
        <v>78.3</v>
      </c>
      <c r="AZ6" s="140">
        <v>102.7</v>
      </c>
      <c r="BA6" s="140">
        <v>113.7</v>
      </c>
      <c r="BB6" s="140">
        <v>111.4</v>
      </c>
      <c r="BC6" s="140">
        <v>108.7</v>
      </c>
      <c r="BD6" s="141">
        <v>109.1</v>
      </c>
      <c r="BE6" s="505">
        <v>117</v>
      </c>
      <c r="BF6" s="140">
        <v>106.8</v>
      </c>
      <c r="BG6" s="140">
        <v>109.1</v>
      </c>
      <c r="BH6" s="140">
        <v>109</v>
      </c>
      <c r="BI6" s="141">
        <v>110.5</v>
      </c>
    </row>
    <row r="7" spans="1:61" ht="12.75" customHeight="1">
      <c r="A7" s="151" t="s">
        <v>510</v>
      </c>
      <c r="B7" s="140"/>
      <c r="C7" s="140"/>
      <c r="D7" s="140"/>
      <c r="E7" s="140"/>
      <c r="F7" s="141"/>
      <c r="G7" s="140"/>
      <c r="H7" s="140"/>
      <c r="I7" s="140"/>
      <c r="J7" s="140"/>
      <c r="K7" s="141"/>
      <c r="L7" s="140"/>
      <c r="M7" s="140"/>
      <c r="N7" s="140"/>
      <c r="O7" s="140"/>
      <c r="P7" s="141"/>
      <c r="Q7" s="140"/>
      <c r="R7" s="140"/>
      <c r="S7" s="140"/>
      <c r="T7" s="140"/>
      <c r="U7" s="141"/>
      <c r="V7" s="140"/>
      <c r="W7" s="140"/>
      <c r="X7" s="140"/>
      <c r="Y7" s="140"/>
      <c r="Z7" s="141"/>
      <c r="AA7" s="140"/>
      <c r="AB7" s="140"/>
      <c r="AC7" s="140"/>
      <c r="AD7" s="140"/>
      <c r="AE7" s="141"/>
      <c r="AF7" s="140"/>
      <c r="AG7" s="140"/>
      <c r="AH7" s="140"/>
      <c r="AI7" s="140"/>
      <c r="AJ7" s="141"/>
      <c r="AK7" s="140"/>
      <c r="AL7" s="140"/>
      <c r="AM7" s="140"/>
      <c r="AN7" s="140"/>
      <c r="AO7" s="141"/>
      <c r="AP7" s="140"/>
      <c r="AQ7" s="140"/>
      <c r="AR7" s="140"/>
      <c r="AS7" s="140"/>
      <c r="AT7" s="141"/>
      <c r="AU7" s="451">
        <v>1.37</v>
      </c>
      <c r="AV7" s="154"/>
      <c r="AW7" s="154"/>
      <c r="AX7" s="451">
        <v>1.45</v>
      </c>
      <c r="AY7" s="452">
        <v>1.38</v>
      </c>
      <c r="AZ7" s="451">
        <v>2.85</v>
      </c>
      <c r="BA7" s="451">
        <v>2.85</v>
      </c>
      <c r="BB7" s="451">
        <v>0.79</v>
      </c>
      <c r="BC7" s="451">
        <v>0.26</v>
      </c>
      <c r="BD7" s="452">
        <v>1.67</v>
      </c>
      <c r="BE7" s="506">
        <v>1.18</v>
      </c>
      <c r="BF7" s="451">
        <v>1.85</v>
      </c>
      <c r="BG7" s="451">
        <v>0.46</v>
      </c>
      <c r="BH7" s="451">
        <v>0.92</v>
      </c>
      <c r="BI7" s="452">
        <v>1.09</v>
      </c>
    </row>
    <row r="8" spans="1:61" ht="12.75" customHeight="1">
      <c r="A8" s="151" t="s">
        <v>237</v>
      </c>
      <c r="B8" s="140">
        <v>265.6</v>
      </c>
      <c r="C8" s="140">
        <v>309.1</v>
      </c>
      <c r="D8" s="140">
        <v>247.8</v>
      </c>
      <c r="E8" s="140">
        <v>177.6</v>
      </c>
      <c r="F8" s="141">
        <v>250.025</v>
      </c>
      <c r="G8" s="140">
        <v>192.5</v>
      </c>
      <c r="H8" s="140">
        <v>250.8</v>
      </c>
      <c r="I8" s="140">
        <v>267.9</v>
      </c>
      <c r="J8" s="140">
        <v>258.9</v>
      </c>
      <c r="K8" s="141">
        <v>242.525</v>
      </c>
      <c r="L8" s="140">
        <v>313.1</v>
      </c>
      <c r="M8" s="140">
        <v>282.2</v>
      </c>
      <c r="N8" s="140">
        <v>303.5</v>
      </c>
      <c r="O8" s="140">
        <v>284.6</v>
      </c>
      <c r="P8" s="141">
        <v>295.85</v>
      </c>
      <c r="Q8" s="140">
        <v>334.3</v>
      </c>
      <c r="R8" s="140">
        <v>409.5</v>
      </c>
      <c r="S8" s="140">
        <v>435.9</v>
      </c>
      <c r="T8" s="140">
        <v>421.8</v>
      </c>
      <c r="U8" s="141">
        <v>400.375</v>
      </c>
      <c r="V8" s="140">
        <v>435.9</v>
      </c>
      <c r="W8" s="140">
        <v>509.4</v>
      </c>
      <c r="X8" s="140">
        <v>642.6</v>
      </c>
      <c r="Y8" s="140">
        <v>539.8</v>
      </c>
      <c r="Z8" s="141">
        <v>534.1</v>
      </c>
      <c r="AA8" s="140">
        <v>563.9</v>
      </c>
      <c r="AB8" s="140">
        <v>709</v>
      </c>
      <c r="AC8" s="140">
        <v>677.6</v>
      </c>
      <c r="AD8" s="140">
        <v>528.1</v>
      </c>
      <c r="AE8" s="141">
        <v>619.3</v>
      </c>
      <c r="AF8" s="140">
        <v>553.4</v>
      </c>
      <c r="AG8" s="140">
        <v>740.7</v>
      </c>
      <c r="AH8" s="140">
        <v>709.6</v>
      </c>
      <c r="AI8" s="140">
        <v>784.7</v>
      </c>
      <c r="AJ8" s="141">
        <v>696</v>
      </c>
      <c r="AK8" s="140">
        <v>839.5</v>
      </c>
      <c r="AL8" s="140">
        <v>1051.8</v>
      </c>
      <c r="AM8" s="140">
        <v>993.7</v>
      </c>
      <c r="AN8" s="140">
        <v>458.9</v>
      </c>
      <c r="AO8" s="141">
        <v>836.8</v>
      </c>
      <c r="AP8" s="140">
        <v>409.6</v>
      </c>
      <c r="AQ8" s="140">
        <v>583.6</v>
      </c>
      <c r="AR8" s="140">
        <v>643.9</v>
      </c>
      <c r="AS8" s="140">
        <v>674.3</v>
      </c>
      <c r="AT8" s="141">
        <v>579</v>
      </c>
      <c r="AU8" s="140">
        <v>726.3</v>
      </c>
      <c r="AV8" s="140">
        <v>732.8</v>
      </c>
      <c r="AW8" s="140">
        <v>694.4</v>
      </c>
      <c r="AX8" s="140">
        <v>787.9</v>
      </c>
      <c r="AY8" s="141">
        <v>735.2</v>
      </c>
      <c r="AZ8" s="140">
        <v>922.2</v>
      </c>
      <c r="BA8" s="140">
        <v>1058.3</v>
      </c>
      <c r="BB8" s="140">
        <v>1026.9</v>
      </c>
      <c r="BC8" s="140">
        <v>932.8</v>
      </c>
      <c r="BD8" s="141">
        <v>984.5</v>
      </c>
      <c r="BE8" s="505">
        <v>1063.6</v>
      </c>
      <c r="BF8" s="140">
        <v>1030.2</v>
      </c>
      <c r="BG8" s="140">
        <v>1062.6</v>
      </c>
      <c r="BH8" s="140">
        <v>989.4</v>
      </c>
      <c r="BI8" s="141">
        <v>1036.5</v>
      </c>
    </row>
    <row r="9" spans="1:61" ht="12.75" customHeight="1">
      <c r="A9" s="151" t="s">
        <v>238</v>
      </c>
      <c r="B9" s="140">
        <v>239.2</v>
      </c>
      <c r="C9" s="140">
        <v>247.2</v>
      </c>
      <c r="D9" s="140">
        <v>238.7</v>
      </c>
      <c r="E9" s="140">
        <v>203.5</v>
      </c>
      <c r="F9" s="141">
        <v>232.15</v>
      </c>
      <c r="G9" s="140">
        <v>190.4</v>
      </c>
      <c r="H9" s="140">
        <v>216.1</v>
      </c>
      <c r="I9" s="140">
        <v>233.1</v>
      </c>
      <c r="J9" s="140">
        <v>254.8</v>
      </c>
      <c r="K9" s="141">
        <v>223.6</v>
      </c>
      <c r="L9" s="140">
        <v>310.1</v>
      </c>
      <c r="M9" s="140">
        <v>247.9</v>
      </c>
      <c r="N9" s="140">
        <v>248.5</v>
      </c>
      <c r="O9" s="140">
        <v>284.1</v>
      </c>
      <c r="P9" s="141">
        <v>272.65</v>
      </c>
      <c r="Q9" s="140">
        <v>300.8</v>
      </c>
      <c r="R9" s="140">
        <v>338.2</v>
      </c>
      <c r="S9" s="140">
        <v>414.6</v>
      </c>
      <c r="T9" s="140">
        <v>488.3</v>
      </c>
      <c r="U9" s="141">
        <v>385.475</v>
      </c>
      <c r="V9" s="140">
        <v>463.7</v>
      </c>
      <c r="W9" s="140">
        <v>528.5</v>
      </c>
      <c r="X9" s="140">
        <v>604.4</v>
      </c>
      <c r="Y9" s="140">
        <v>564.1</v>
      </c>
      <c r="Z9" s="141">
        <v>542</v>
      </c>
      <c r="AA9" s="140">
        <v>566.9</v>
      </c>
      <c r="AB9" s="140">
        <v>651.8</v>
      </c>
      <c r="AC9" s="140">
        <v>644.3</v>
      </c>
      <c r="AD9" s="140">
        <v>570.3</v>
      </c>
      <c r="AE9" s="141">
        <v>608.4</v>
      </c>
      <c r="AF9" s="140">
        <v>545.7</v>
      </c>
      <c r="AG9" s="140">
        <v>631.1</v>
      </c>
      <c r="AH9" s="140">
        <v>681.5</v>
      </c>
      <c r="AI9" s="140">
        <v>827.2</v>
      </c>
      <c r="AJ9" s="141">
        <v>670.6</v>
      </c>
      <c r="AK9" s="140">
        <v>903.3</v>
      </c>
      <c r="AL9" s="140">
        <v>1191</v>
      </c>
      <c r="AM9" s="140">
        <v>1085.1</v>
      </c>
      <c r="AN9" s="140">
        <v>612</v>
      </c>
      <c r="AO9" s="141">
        <v>948.1</v>
      </c>
      <c r="AP9" s="140">
        <v>437.2</v>
      </c>
      <c r="AQ9" s="140">
        <v>503.8</v>
      </c>
      <c r="AR9" s="140">
        <v>571.4</v>
      </c>
      <c r="AS9" s="140">
        <v>622.5</v>
      </c>
      <c r="AT9" s="141">
        <v>534.8</v>
      </c>
      <c r="AU9" s="140">
        <v>644</v>
      </c>
      <c r="AV9" s="140">
        <v>684.4</v>
      </c>
      <c r="AW9" s="140">
        <v>667.9</v>
      </c>
      <c r="AX9" s="140">
        <v>756.9</v>
      </c>
      <c r="AY9" s="141">
        <v>688.5</v>
      </c>
      <c r="AZ9" s="140">
        <v>912</v>
      </c>
      <c r="BA9" s="140">
        <v>983.5</v>
      </c>
      <c r="BB9" s="140">
        <v>967.3</v>
      </c>
      <c r="BC9" s="140">
        <v>972.1</v>
      </c>
      <c r="BD9" s="141">
        <v>958.7</v>
      </c>
      <c r="BE9" s="505">
        <v>1011.1</v>
      </c>
      <c r="BF9" s="140">
        <v>942.8</v>
      </c>
      <c r="BG9" s="140">
        <v>977.2</v>
      </c>
      <c r="BH9" s="140">
        <v>986.6</v>
      </c>
      <c r="BI9" s="141">
        <v>980</v>
      </c>
    </row>
    <row r="10" spans="1:61" ht="12.75">
      <c r="A10" s="151" t="s">
        <v>239</v>
      </c>
      <c r="B10" s="140">
        <v>223.9</v>
      </c>
      <c r="C10" s="140">
        <v>233.2</v>
      </c>
      <c r="D10" s="140">
        <v>190.5</v>
      </c>
      <c r="E10" s="140">
        <v>144.8</v>
      </c>
      <c r="F10" s="141">
        <v>198.1</v>
      </c>
      <c r="G10" s="140">
        <v>176</v>
      </c>
      <c r="H10" s="140">
        <v>202.1</v>
      </c>
      <c r="I10" s="140">
        <v>223.3</v>
      </c>
      <c r="J10" s="140">
        <v>225.5</v>
      </c>
      <c r="K10" s="141">
        <v>206.725</v>
      </c>
      <c r="L10" s="140">
        <v>294.1</v>
      </c>
      <c r="M10" s="140">
        <v>208.1</v>
      </c>
      <c r="N10" s="140">
        <v>239.5</v>
      </c>
      <c r="O10" s="140">
        <v>267.4</v>
      </c>
      <c r="P10" s="141">
        <v>252.275</v>
      </c>
      <c r="Q10" s="140">
        <v>293.3</v>
      </c>
      <c r="R10" s="140">
        <v>331.5</v>
      </c>
      <c r="S10" s="140">
        <v>385.2</v>
      </c>
      <c r="T10" s="140">
        <v>397.4</v>
      </c>
      <c r="U10" s="141">
        <v>351.85</v>
      </c>
      <c r="V10" s="140">
        <v>400</v>
      </c>
      <c r="W10" s="140">
        <v>416.5</v>
      </c>
      <c r="X10" s="140">
        <v>498.6</v>
      </c>
      <c r="Y10" s="140">
        <v>475.8</v>
      </c>
      <c r="Z10" s="141">
        <v>448.9</v>
      </c>
      <c r="AA10" s="140">
        <v>505</v>
      </c>
      <c r="AB10" s="140">
        <v>577.1</v>
      </c>
      <c r="AC10" s="140">
        <v>568</v>
      </c>
      <c r="AD10" s="140">
        <v>498.4</v>
      </c>
      <c r="AE10" s="141">
        <v>536.9</v>
      </c>
      <c r="AF10" s="140">
        <v>523.2</v>
      </c>
      <c r="AG10" s="140">
        <v>636.4</v>
      </c>
      <c r="AH10" s="140">
        <v>653.6</v>
      </c>
      <c r="AI10" s="140">
        <v>770.8</v>
      </c>
      <c r="AJ10" s="141">
        <v>645.1</v>
      </c>
      <c r="AK10" s="140">
        <v>537.2</v>
      </c>
      <c r="AL10" s="140">
        <v>955.9</v>
      </c>
      <c r="AM10" s="140">
        <v>926.7</v>
      </c>
      <c r="AN10" s="140">
        <v>334.6</v>
      </c>
      <c r="AO10" s="141">
        <v>759.4</v>
      </c>
      <c r="AP10" s="140">
        <v>361.8</v>
      </c>
      <c r="AQ10" s="140">
        <v>472.4</v>
      </c>
      <c r="AR10" s="140">
        <v>580.4</v>
      </c>
      <c r="AS10" s="140">
        <v>639.8</v>
      </c>
      <c r="AT10" s="141">
        <v>515.2</v>
      </c>
      <c r="AU10" s="140">
        <v>683.8</v>
      </c>
      <c r="AV10" s="140">
        <v>670.4</v>
      </c>
      <c r="AW10" s="140">
        <v>634.8</v>
      </c>
      <c r="AX10" s="140">
        <v>771.7</v>
      </c>
      <c r="AY10" s="141">
        <v>690.2</v>
      </c>
      <c r="AZ10" s="140">
        <v>884</v>
      </c>
      <c r="BA10" s="140">
        <v>958.5</v>
      </c>
      <c r="BB10" s="140">
        <v>931.3</v>
      </c>
      <c r="BC10" s="140">
        <v>849.1</v>
      </c>
      <c r="BD10" s="141">
        <v>905.3</v>
      </c>
      <c r="BE10" s="505">
        <v>987.9</v>
      </c>
      <c r="BF10" s="140">
        <v>853.6</v>
      </c>
      <c r="BG10" s="140">
        <v>883.2</v>
      </c>
      <c r="BH10" s="140">
        <v>910.6</v>
      </c>
      <c r="BI10" s="141">
        <v>909.7</v>
      </c>
    </row>
    <row r="11" spans="1:61" ht="12.75">
      <c r="A11" s="151" t="s">
        <v>511</v>
      </c>
      <c r="B11" s="140"/>
      <c r="C11" s="140"/>
      <c r="D11" s="140"/>
      <c r="E11" s="140"/>
      <c r="F11" s="141"/>
      <c r="G11" s="140"/>
      <c r="H11" s="140"/>
      <c r="I11" s="140"/>
      <c r="J11" s="140"/>
      <c r="K11" s="141"/>
      <c r="L11" s="140"/>
      <c r="M11" s="140"/>
      <c r="N11" s="140"/>
      <c r="O11" s="140"/>
      <c r="P11" s="141"/>
      <c r="Q11" s="140"/>
      <c r="R11" s="140"/>
      <c r="S11" s="140"/>
      <c r="T11" s="140"/>
      <c r="U11" s="141"/>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451">
        <v>434.6</v>
      </c>
      <c r="AV11" s="154"/>
      <c r="AW11" s="154"/>
      <c r="AX11" s="451">
        <v>457.6</v>
      </c>
      <c r="AY11" s="452">
        <v>436.5</v>
      </c>
      <c r="AZ11" s="140">
        <v>551.2</v>
      </c>
      <c r="BA11" s="140">
        <v>619.1</v>
      </c>
      <c r="BB11" s="140">
        <v>625.7</v>
      </c>
      <c r="BC11" s="140">
        <v>617.8</v>
      </c>
      <c r="BD11" s="452">
        <v>603.5</v>
      </c>
      <c r="BE11" s="505">
        <v>674.5</v>
      </c>
      <c r="BF11" s="140">
        <v>624.2</v>
      </c>
      <c r="BG11" s="140">
        <v>617.4</v>
      </c>
      <c r="BH11" s="140">
        <v>583.4</v>
      </c>
      <c r="BI11" s="141">
        <v>624.9</v>
      </c>
    </row>
    <row r="12" spans="1:61" ht="12.75" customHeight="1">
      <c r="A12" s="152" t="s">
        <v>261</v>
      </c>
      <c r="B12" s="140">
        <v>70.5</v>
      </c>
      <c r="C12" s="140">
        <v>102.7</v>
      </c>
      <c r="D12" s="140">
        <v>56.8</v>
      </c>
      <c r="E12" s="140">
        <v>31.2</v>
      </c>
      <c r="F12" s="141">
        <v>65.3</v>
      </c>
      <c r="G12" s="140">
        <v>32.9</v>
      </c>
      <c r="H12" s="140">
        <v>61.7</v>
      </c>
      <c r="I12" s="140">
        <v>64.4</v>
      </c>
      <c r="J12" s="140">
        <v>56.7</v>
      </c>
      <c r="K12" s="141">
        <v>53.925</v>
      </c>
      <c r="L12" s="140">
        <v>74.7</v>
      </c>
      <c r="M12" s="140">
        <v>85.3</v>
      </c>
      <c r="N12" s="140">
        <v>88.6</v>
      </c>
      <c r="O12" s="140">
        <v>63.9</v>
      </c>
      <c r="P12" s="141">
        <v>78.125</v>
      </c>
      <c r="Q12" s="140">
        <v>92.5</v>
      </c>
      <c r="R12" s="140">
        <v>142</v>
      </c>
      <c r="S12" s="140">
        <v>121.7</v>
      </c>
      <c r="T12" s="140">
        <v>88.9</v>
      </c>
      <c r="U12" s="141">
        <v>111.275</v>
      </c>
      <c r="V12" s="140">
        <v>76.5</v>
      </c>
      <c r="W12" s="140">
        <v>119.2</v>
      </c>
      <c r="X12" s="140">
        <v>177.1</v>
      </c>
      <c r="Y12" s="140">
        <v>109.4</v>
      </c>
      <c r="Z12" s="141">
        <v>121.7</v>
      </c>
      <c r="AA12" s="140">
        <v>96.7</v>
      </c>
      <c r="AB12" s="140">
        <v>182.3</v>
      </c>
      <c r="AC12" s="140">
        <v>151.9</v>
      </c>
      <c r="AD12" s="140">
        <v>76.6</v>
      </c>
      <c r="AE12" s="141">
        <v>126.9</v>
      </c>
      <c r="AF12" s="140">
        <v>116.5</v>
      </c>
      <c r="AG12" s="140">
        <v>219.7</v>
      </c>
      <c r="AH12" s="140">
        <v>143.4</v>
      </c>
      <c r="AI12" s="140">
        <v>115.6</v>
      </c>
      <c r="AJ12" s="141">
        <v>148.3</v>
      </c>
      <c r="AK12" s="140">
        <v>107.6</v>
      </c>
      <c r="AL12" s="140">
        <v>133.6</v>
      </c>
      <c r="AM12" s="140">
        <v>125.4</v>
      </c>
      <c r="AN12" s="140">
        <v>43.5</v>
      </c>
      <c r="AO12" s="141">
        <v>101.1</v>
      </c>
      <c r="AP12" s="140">
        <v>73.7</v>
      </c>
      <c r="AQ12" s="140">
        <v>138.9</v>
      </c>
      <c r="AR12" s="140">
        <v>127.4</v>
      </c>
      <c r="AS12" s="140">
        <v>110.8</v>
      </c>
      <c r="AT12" s="141">
        <v>112.5</v>
      </c>
      <c r="AU12" s="140">
        <v>148.6</v>
      </c>
      <c r="AV12" s="140">
        <v>140.9</v>
      </c>
      <c r="AW12" s="140">
        <v>112.9</v>
      </c>
      <c r="AX12" s="140">
        <v>133.8</v>
      </c>
      <c r="AY12" s="141">
        <v>133.9</v>
      </c>
      <c r="AZ12" s="140">
        <v>124.7</v>
      </c>
      <c r="BA12" s="140">
        <v>172.8</v>
      </c>
      <c r="BB12" s="140">
        <v>169</v>
      </c>
      <c r="BC12" s="140">
        <v>105.6</v>
      </c>
      <c r="BD12" s="141">
        <v>142.9</v>
      </c>
      <c r="BE12" s="505">
        <v>166.4</v>
      </c>
      <c r="BF12" s="140">
        <v>211</v>
      </c>
      <c r="BG12" s="140">
        <v>234.2</v>
      </c>
      <c r="BH12" s="140">
        <v>156.7</v>
      </c>
      <c r="BI12" s="141">
        <v>191.8</v>
      </c>
    </row>
    <row r="13" spans="1:61" ht="12.75" customHeight="1">
      <c r="A13" s="152" t="s">
        <v>262</v>
      </c>
      <c r="B13" s="140">
        <v>44.1</v>
      </c>
      <c r="C13" s="140">
        <v>40.8</v>
      </c>
      <c r="D13" s="140">
        <v>47.7</v>
      </c>
      <c r="E13" s="140">
        <v>57.1</v>
      </c>
      <c r="F13" s="141">
        <v>47.425</v>
      </c>
      <c r="G13" s="140">
        <v>30.8</v>
      </c>
      <c r="H13" s="140">
        <v>27.1</v>
      </c>
      <c r="I13" s="140">
        <v>29.6</v>
      </c>
      <c r="J13" s="140">
        <v>52.5</v>
      </c>
      <c r="K13" s="141">
        <v>35</v>
      </c>
      <c r="L13" s="140">
        <v>71.7</v>
      </c>
      <c r="M13" s="140">
        <v>51</v>
      </c>
      <c r="N13" s="140">
        <v>33.6</v>
      </c>
      <c r="O13" s="140">
        <v>61.6</v>
      </c>
      <c r="P13" s="141">
        <v>54.475</v>
      </c>
      <c r="Q13" s="140">
        <v>59.1</v>
      </c>
      <c r="R13" s="140">
        <v>70.7</v>
      </c>
      <c r="S13" s="140">
        <v>100.4</v>
      </c>
      <c r="T13" s="140">
        <v>155.4</v>
      </c>
      <c r="U13" s="141">
        <v>96.4</v>
      </c>
      <c r="V13" s="140">
        <v>104.4</v>
      </c>
      <c r="W13" s="140">
        <v>138.2</v>
      </c>
      <c r="X13" s="140">
        <v>138.9</v>
      </c>
      <c r="Y13" s="140">
        <v>133.7</v>
      </c>
      <c r="Z13" s="141">
        <v>129.6</v>
      </c>
      <c r="AA13" s="140">
        <v>99.7</v>
      </c>
      <c r="AB13" s="140">
        <v>125.1</v>
      </c>
      <c r="AC13" s="140">
        <v>118.6</v>
      </c>
      <c r="AD13" s="140">
        <v>118.9</v>
      </c>
      <c r="AE13" s="141">
        <v>115.6</v>
      </c>
      <c r="AF13" s="140">
        <v>108.8</v>
      </c>
      <c r="AG13" s="140">
        <v>110.5</v>
      </c>
      <c r="AH13" s="140">
        <v>116.2</v>
      </c>
      <c r="AI13" s="140">
        <v>158.1</v>
      </c>
      <c r="AJ13" s="141">
        <v>122.9</v>
      </c>
      <c r="AK13" s="140">
        <v>172.4</v>
      </c>
      <c r="AL13" s="140">
        <v>272.8</v>
      </c>
      <c r="AM13" s="140">
        <v>216.8</v>
      </c>
      <c r="AN13" s="140">
        <v>196.6</v>
      </c>
      <c r="AO13" s="141">
        <v>212.4</v>
      </c>
      <c r="AP13" s="140">
        <v>101.3</v>
      </c>
      <c r="AQ13" s="140">
        <v>59</v>
      </c>
      <c r="AR13" s="140">
        <v>54.9</v>
      </c>
      <c r="AS13" s="140">
        <v>59.1</v>
      </c>
      <c r="AT13" s="141">
        <v>68.3</v>
      </c>
      <c r="AU13" s="140">
        <v>66.3</v>
      </c>
      <c r="AV13" s="140">
        <v>92.6</v>
      </c>
      <c r="AW13" s="140">
        <v>86.5</v>
      </c>
      <c r="AX13" s="140">
        <v>102.9</v>
      </c>
      <c r="AY13" s="141">
        <v>87.1</v>
      </c>
      <c r="AZ13" s="140">
        <v>114.5</v>
      </c>
      <c r="BA13" s="140">
        <v>98</v>
      </c>
      <c r="BB13" s="140">
        <v>109.4</v>
      </c>
      <c r="BC13" s="140">
        <v>145.8</v>
      </c>
      <c r="BD13" s="141">
        <v>117.1</v>
      </c>
      <c r="BE13" s="505">
        <v>113.9</v>
      </c>
      <c r="BF13" s="140">
        <v>124</v>
      </c>
      <c r="BG13" s="140">
        <v>148.8</v>
      </c>
      <c r="BH13" s="140">
        <v>153.9</v>
      </c>
      <c r="BI13" s="141">
        <v>135.2</v>
      </c>
    </row>
    <row r="14" spans="1:61" ht="12.75" customHeight="1">
      <c r="A14" s="152" t="s">
        <v>263</v>
      </c>
      <c r="B14" s="140">
        <v>28.8</v>
      </c>
      <c r="C14" s="140">
        <v>26.8</v>
      </c>
      <c r="D14" s="140">
        <v>-0.5</v>
      </c>
      <c r="E14" s="140">
        <v>-1.5</v>
      </c>
      <c r="F14" s="141">
        <v>13.4</v>
      </c>
      <c r="G14" s="140">
        <v>16.3</v>
      </c>
      <c r="H14" s="140">
        <v>13.1</v>
      </c>
      <c r="I14" s="140">
        <v>19.8</v>
      </c>
      <c r="J14" s="140">
        <v>23.3</v>
      </c>
      <c r="K14" s="141">
        <v>18.125</v>
      </c>
      <c r="L14" s="140">
        <v>55.7</v>
      </c>
      <c r="M14" s="140">
        <v>11.2</v>
      </c>
      <c r="N14" s="140">
        <v>24.6</v>
      </c>
      <c r="O14" s="140">
        <v>44.9</v>
      </c>
      <c r="P14" s="141">
        <v>34.1</v>
      </c>
      <c r="Q14" s="140">
        <v>51.6</v>
      </c>
      <c r="R14" s="140">
        <v>63.9</v>
      </c>
      <c r="S14" s="140">
        <v>71</v>
      </c>
      <c r="T14" s="140">
        <v>64.5</v>
      </c>
      <c r="U14" s="141">
        <v>62.75</v>
      </c>
      <c r="V14" s="140">
        <v>40.6</v>
      </c>
      <c r="W14" s="140">
        <v>26.3</v>
      </c>
      <c r="X14" s="140">
        <v>33.1</v>
      </c>
      <c r="Y14" s="140">
        <v>45.4</v>
      </c>
      <c r="Z14" s="141">
        <v>36.4</v>
      </c>
      <c r="AA14" s="140">
        <v>37.9</v>
      </c>
      <c r="AB14" s="140">
        <v>50.4</v>
      </c>
      <c r="AC14" s="140">
        <v>42.3</v>
      </c>
      <c r="AD14" s="140">
        <v>46.9</v>
      </c>
      <c r="AE14" s="141">
        <v>44.1</v>
      </c>
      <c r="AF14" s="140">
        <v>86.3</v>
      </c>
      <c r="AG14" s="140">
        <v>115.8</v>
      </c>
      <c r="AH14" s="140">
        <v>87.9</v>
      </c>
      <c r="AI14" s="140">
        <v>104.9</v>
      </c>
      <c r="AJ14" s="141">
        <v>99.2</v>
      </c>
      <c r="AK14" s="140">
        <v>83.7</v>
      </c>
      <c r="AL14" s="140">
        <v>37.7</v>
      </c>
      <c r="AM14" s="140">
        <v>58.4</v>
      </c>
      <c r="AN14" s="140">
        <v>-80.7</v>
      </c>
      <c r="AO14" s="141">
        <v>23.7</v>
      </c>
      <c r="AP14" s="140">
        <v>25.9</v>
      </c>
      <c r="AQ14" s="140">
        <v>27.7</v>
      </c>
      <c r="AR14" s="140">
        <v>63.9</v>
      </c>
      <c r="AS14" s="140">
        <v>76.4</v>
      </c>
      <c r="AT14" s="141">
        <v>48.6</v>
      </c>
      <c r="AU14" s="140">
        <v>106.1</v>
      </c>
      <c r="AV14" s="140">
        <v>78.6</v>
      </c>
      <c r="AW14" s="140">
        <v>53.4</v>
      </c>
      <c r="AX14" s="140">
        <v>117.6</v>
      </c>
      <c r="AY14" s="141">
        <v>88.8</v>
      </c>
      <c r="AZ14" s="62">
        <v>86.4</v>
      </c>
      <c r="BA14" s="62">
        <v>73.1</v>
      </c>
      <c r="BB14" s="62">
        <v>73.4</v>
      </c>
      <c r="BC14" s="62">
        <v>21.8</v>
      </c>
      <c r="BD14" s="141">
        <v>63.6</v>
      </c>
      <c r="BE14" s="505">
        <v>90.7</v>
      </c>
      <c r="BF14" s="62">
        <v>34</v>
      </c>
      <c r="BG14" s="62">
        <v>54.8</v>
      </c>
      <c r="BH14" s="62">
        <v>77.9</v>
      </c>
      <c r="BI14" s="141">
        <v>64.9</v>
      </c>
    </row>
    <row r="15" spans="1:61" ht="12.75" customHeight="1">
      <c r="A15" s="152" t="s">
        <v>513</v>
      </c>
      <c r="B15" s="140"/>
      <c r="C15" s="140"/>
      <c r="D15" s="140"/>
      <c r="E15" s="140"/>
      <c r="F15" s="141"/>
      <c r="G15" s="140"/>
      <c r="H15" s="140"/>
      <c r="I15" s="140"/>
      <c r="J15" s="140"/>
      <c r="K15" s="141"/>
      <c r="L15" s="140"/>
      <c r="M15" s="140"/>
      <c r="N15" s="140"/>
      <c r="O15" s="140"/>
      <c r="P15" s="141"/>
      <c r="Q15" s="140"/>
      <c r="R15" s="140"/>
      <c r="S15" s="140"/>
      <c r="T15" s="140"/>
      <c r="U15" s="141"/>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451">
        <v>-143.1</v>
      </c>
      <c r="AV15" s="154"/>
      <c r="AW15" s="154"/>
      <c r="AX15" s="451">
        <v>-196.5</v>
      </c>
      <c r="AY15" s="452">
        <v>-164.8</v>
      </c>
      <c r="AZ15" s="140">
        <v>-246.3</v>
      </c>
      <c r="BA15" s="140">
        <v>-266.4</v>
      </c>
      <c r="BB15" s="140">
        <v>-232.2</v>
      </c>
      <c r="BC15" s="140">
        <v>-209</v>
      </c>
      <c r="BD15" s="452">
        <v>-238.1</v>
      </c>
      <c r="BE15" s="505">
        <v>-222.7</v>
      </c>
      <c r="BF15" s="140">
        <v>-195.1</v>
      </c>
      <c r="BG15" s="140">
        <v>-211</v>
      </c>
      <c r="BH15" s="140">
        <v>-249.3</v>
      </c>
      <c r="BI15" s="141">
        <v>-219.9</v>
      </c>
    </row>
    <row r="16" spans="1:61" ht="12.75" customHeight="1">
      <c r="A16" s="151" t="s">
        <v>211</v>
      </c>
      <c r="B16" s="140">
        <v>665</v>
      </c>
      <c r="C16" s="140">
        <v>640</v>
      </c>
      <c r="D16" s="140">
        <v>608</v>
      </c>
      <c r="E16" s="140">
        <v>553</v>
      </c>
      <c r="F16" s="141">
        <v>616.5</v>
      </c>
      <c r="G16" s="140">
        <v>473</v>
      </c>
      <c r="H16" s="140">
        <v>540</v>
      </c>
      <c r="I16" s="140">
        <v>540</v>
      </c>
      <c r="J16" s="140">
        <v>515</v>
      </c>
      <c r="K16" s="141">
        <v>517</v>
      </c>
      <c r="L16" s="140">
        <v>575</v>
      </c>
      <c r="M16" s="140">
        <v>575</v>
      </c>
      <c r="N16" s="140">
        <v>445</v>
      </c>
      <c r="O16" s="140">
        <v>512</v>
      </c>
      <c r="P16" s="141">
        <v>526.75</v>
      </c>
      <c r="Q16" s="140">
        <v>580</v>
      </c>
      <c r="R16" s="140">
        <v>607</v>
      </c>
      <c r="S16" s="140">
        <v>635</v>
      </c>
      <c r="T16" s="140">
        <v>700</v>
      </c>
      <c r="U16" s="141">
        <v>630.5</v>
      </c>
      <c r="V16" s="140">
        <v>740</v>
      </c>
      <c r="W16" s="140">
        <v>750</v>
      </c>
      <c r="X16" s="140">
        <v>640</v>
      </c>
      <c r="Y16" s="140">
        <v>825</v>
      </c>
      <c r="Z16" s="141">
        <v>738.75</v>
      </c>
      <c r="AA16" s="140">
        <v>785</v>
      </c>
      <c r="AB16" s="140">
        <v>865</v>
      </c>
      <c r="AC16" s="140">
        <v>900</v>
      </c>
      <c r="AD16" s="140">
        <v>900</v>
      </c>
      <c r="AE16" s="141">
        <v>863</v>
      </c>
      <c r="AF16" s="140">
        <v>855</v>
      </c>
      <c r="AG16" s="140">
        <v>890</v>
      </c>
      <c r="AH16" s="140">
        <v>925</v>
      </c>
      <c r="AI16" s="140">
        <v>945</v>
      </c>
      <c r="AJ16" s="141">
        <v>903.8</v>
      </c>
      <c r="AK16" s="140">
        <v>1023</v>
      </c>
      <c r="AL16" s="140">
        <v>1038</v>
      </c>
      <c r="AM16" s="140">
        <v>1228</v>
      </c>
      <c r="AN16" s="140">
        <v>1.12</v>
      </c>
      <c r="AO16" s="141">
        <v>1.102</v>
      </c>
      <c r="AP16" s="140">
        <v>595</v>
      </c>
      <c r="AQ16" s="140">
        <v>688</v>
      </c>
      <c r="AR16" s="140">
        <v>818</v>
      </c>
      <c r="AS16" s="140">
        <v>844</v>
      </c>
      <c r="AT16" s="141">
        <v>737</v>
      </c>
      <c r="AU16" s="140">
        <v>917</v>
      </c>
      <c r="AV16" s="140">
        <v>963</v>
      </c>
      <c r="AW16" s="140">
        <v>949</v>
      </c>
      <c r="AX16" s="140">
        <v>978</v>
      </c>
      <c r="AY16" s="141">
        <v>952</v>
      </c>
      <c r="AZ16" s="140">
        <v>1147</v>
      </c>
      <c r="BA16" s="140">
        <v>1207</v>
      </c>
      <c r="BB16" s="140">
        <v>1108</v>
      </c>
      <c r="BC16" s="140">
        <v>1097</v>
      </c>
      <c r="BD16" s="141">
        <v>1140</v>
      </c>
      <c r="BE16" s="505">
        <v>1215</v>
      </c>
      <c r="BF16" s="140">
        <v>1292</v>
      </c>
      <c r="BG16" s="140">
        <v>1170</v>
      </c>
      <c r="BH16" s="140">
        <v>1280</v>
      </c>
      <c r="BI16" s="141">
        <v>1239.1</v>
      </c>
    </row>
    <row r="17" spans="1:61" s="91" customFormat="1" ht="12.75" customHeight="1">
      <c r="A17" s="536" t="s">
        <v>212</v>
      </c>
      <c r="B17" s="88">
        <v>489.3134219216657</v>
      </c>
      <c r="C17" s="88">
        <v>445.7682300816645</v>
      </c>
      <c r="D17" s="88">
        <v>449.83828116568003</v>
      </c>
      <c r="E17" s="88">
        <v>435.41197372851</v>
      </c>
      <c r="F17" s="93">
        <v>455.08297672438</v>
      </c>
      <c r="G17" s="88">
        <v>352.30880778004394</v>
      </c>
      <c r="H17" s="88">
        <v>455.76042387486115</v>
      </c>
      <c r="I17" s="88">
        <v>419.1393450016241</v>
      </c>
      <c r="J17" s="88">
        <v>326.5920985888538</v>
      </c>
      <c r="K17" s="93">
        <v>388.45016881134575</v>
      </c>
      <c r="L17" s="88">
        <v>347.0765351192824</v>
      </c>
      <c r="M17" s="88">
        <v>433.57104561400706</v>
      </c>
      <c r="N17" s="88">
        <v>330.8724599420937</v>
      </c>
      <c r="O17" s="88">
        <v>332.3876459288665</v>
      </c>
      <c r="P17" s="93">
        <v>360.9769216510624</v>
      </c>
      <c r="Q17" s="88">
        <v>373.58604560245476</v>
      </c>
      <c r="R17" s="88">
        <v>335.162914482939</v>
      </c>
      <c r="S17" s="88">
        <v>384.5350401842442</v>
      </c>
      <c r="T17" s="88">
        <v>538.7153258903304</v>
      </c>
      <c r="U17" s="93">
        <v>407.9998315399921</v>
      </c>
      <c r="V17" s="88">
        <v>532.1949287743053</v>
      </c>
      <c r="W17" s="88">
        <v>348.92204152050886</v>
      </c>
      <c r="X17" s="88">
        <v>330.0452379442007</v>
      </c>
      <c r="Y17" s="88">
        <v>459.192132097503</v>
      </c>
      <c r="Z17" s="93">
        <v>417.58858508412953</v>
      </c>
      <c r="AA17" s="88">
        <v>432.7980755139358</v>
      </c>
      <c r="AB17" s="88">
        <v>410.4349309279084</v>
      </c>
      <c r="AC17" s="88">
        <v>481.13603641652634</v>
      </c>
      <c r="AD17" s="88">
        <v>550</v>
      </c>
      <c r="AE17" s="93">
        <v>469</v>
      </c>
      <c r="AF17" s="88">
        <v>550.5</v>
      </c>
      <c r="AG17" s="88">
        <v>508</v>
      </c>
      <c r="AH17" s="88">
        <v>540</v>
      </c>
      <c r="AI17" s="88">
        <v>407.5</v>
      </c>
      <c r="AJ17" s="93">
        <v>501.5</v>
      </c>
      <c r="AK17" s="88">
        <v>415.9</v>
      </c>
      <c r="AL17" s="88">
        <v>277.6</v>
      </c>
      <c r="AM17" s="88">
        <v>441</v>
      </c>
      <c r="AN17" s="88">
        <v>491</v>
      </c>
      <c r="AO17" s="93">
        <v>406</v>
      </c>
      <c r="AP17" s="88">
        <v>312</v>
      </c>
      <c r="AQ17" s="88">
        <v>275</v>
      </c>
      <c r="AR17" s="88">
        <v>358</v>
      </c>
      <c r="AS17" s="88">
        <v>273</v>
      </c>
      <c r="AT17" s="93">
        <v>304</v>
      </c>
      <c r="AU17" s="88">
        <v>303</v>
      </c>
      <c r="AV17" s="88">
        <v>343</v>
      </c>
      <c r="AW17" s="88">
        <v>373</v>
      </c>
      <c r="AX17" s="88">
        <v>272</v>
      </c>
      <c r="AY17" s="93">
        <v>323</v>
      </c>
      <c r="AZ17" s="88">
        <v>377</v>
      </c>
      <c r="BA17" s="88">
        <v>348</v>
      </c>
      <c r="BB17" s="88">
        <v>213</v>
      </c>
      <c r="BC17" s="88">
        <v>177</v>
      </c>
      <c r="BD17" s="93">
        <v>279</v>
      </c>
      <c r="BE17" s="537">
        <v>173</v>
      </c>
      <c r="BF17" s="88">
        <v>318</v>
      </c>
      <c r="BG17" s="88">
        <v>261</v>
      </c>
      <c r="BH17" s="88">
        <v>295</v>
      </c>
      <c r="BI17" s="93">
        <v>262</v>
      </c>
    </row>
    <row r="18" spans="1:61" ht="12.75" customHeight="1">
      <c r="A18" s="151" t="s">
        <v>213</v>
      </c>
      <c r="B18" s="140">
        <v>287.5</v>
      </c>
      <c r="C18" s="140">
        <v>294.5</v>
      </c>
      <c r="D18" s="140">
        <v>283.2</v>
      </c>
      <c r="E18" s="140">
        <v>280.8</v>
      </c>
      <c r="F18" s="141">
        <v>286.5</v>
      </c>
      <c r="G18" s="140">
        <v>278.4</v>
      </c>
      <c r="H18" s="140">
        <v>264.7</v>
      </c>
      <c r="I18" s="140">
        <v>249.3</v>
      </c>
      <c r="J18" s="140">
        <v>239.6</v>
      </c>
      <c r="K18" s="141">
        <v>258</v>
      </c>
      <c r="L18" s="140">
        <v>226.9</v>
      </c>
      <c r="M18" s="140">
        <v>220.8</v>
      </c>
      <c r="N18" s="140">
        <v>230.9</v>
      </c>
      <c r="O18" s="140">
        <v>218.7</v>
      </c>
      <c r="P18" s="141">
        <v>224.4</v>
      </c>
      <c r="Q18" s="140">
        <v>208</v>
      </c>
      <c r="R18" s="140">
        <v>209.3</v>
      </c>
      <c r="S18" s="140">
        <v>203.6</v>
      </c>
      <c r="T18" s="140">
        <v>189.9</v>
      </c>
      <c r="U18" s="141">
        <v>202.6</v>
      </c>
      <c r="V18" s="140">
        <v>187</v>
      </c>
      <c r="W18" s="140">
        <v>198.3</v>
      </c>
      <c r="X18" s="140">
        <v>201.2</v>
      </c>
      <c r="Y18" s="140">
        <v>211.8</v>
      </c>
      <c r="Z18" s="141">
        <v>199.7</v>
      </c>
      <c r="AA18" s="140">
        <v>211.6</v>
      </c>
      <c r="AB18" s="140">
        <v>212</v>
      </c>
      <c r="AC18" s="140">
        <v>216.1</v>
      </c>
      <c r="AD18" s="140">
        <v>201.9</v>
      </c>
      <c r="AE18" s="141">
        <v>210.5</v>
      </c>
      <c r="AF18" s="140">
        <v>192.6</v>
      </c>
      <c r="AG18" s="140">
        <v>184.3</v>
      </c>
      <c r="AH18" s="140">
        <v>183.3</v>
      </c>
      <c r="AI18" s="140">
        <v>174.5</v>
      </c>
      <c r="AJ18" s="141">
        <v>183.8</v>
      </c>
      <c r="AK18" s="140">
        <v>173.2</v>
      </c>
      <c r="AL18" s="140">
        <v>158.6</v>
      </c>
      <c r="AM18" s="140">
        <v>157.2</v>
      </c>
      <c r="AN18" s="140">
        <v>199.3</v>
      </c>
      <c r="AO18" s="141">
        <v>171.8</v>
      </c>
      <c r="AP18" s="140">
        <v>226.4</v>
      </c>
      <c r="AQ18" s="140">
        <v>210.2</v>
      </c>
      <c r="AR18" s="140">
        <v>189.8</v>
      </c>
      <c r="AS18" s="140">
        <v>183.3</v>
      </c>
      <c r="AT18" s="141">
        <v>202.3</v>
      </c>
      <c r="AU18" s="140">
        <v>194.2</v>
      </c>
      <c r="AV18" s="140">
        <v>216.1</v>
      </c>
      <c r="AW18" s="140">
        <v>218.7</v>
      </c>
      <c r="AX18" s="140">
        <v>203.1</v>
      </c>
      <c r="AY18" s="141">
        <v>208.1</v>
      </c>
      <c r="AZ18" s="140">
        <v>199.4</v>
      </c>
      <c r="BA18" s="140">
        <v>185</v>
      </c>
      <c r="BB18" s="140">
        <v>194.6</v>
      </c>
      <c r="BC18" s="140">
        <v>225.5</v>
      </c>
      <c r="BD18" s="141">
        <v>200.9</v>
      </c>
      <c r="BE18" s="505">
        <v>226.5</v>
      </c>
      <c r="BF18" s="140">
        <v>230</v>
      </c>
      <c r="BG18" s="140">
        <v>226.4</v>
      </c>
      <c r="BH18" s="140">
        <v>218.5</v>
      </c>
      <c r="BI18" s="141">
        <v>225.4</v>
      </c>
    </row>
    <row r="19" spans="1:61" ht="12.75" customHeight="1">
      <c r="A19" s="153" t="s">
        <v>309</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40">
        <v>259.3</v>
      </c>
      <c r="AL19" s="140">
        <v>248</v>
      </c>
      <c r="AM19" s="140">
        <v>236.1</v>
      </c>
      <c r="AN19" s="140">
        <v>262.3</v>
      </c>
      <c r="AO19" s="141">
        <v>251.3</v>
      </c>
      <c r="AP19" s="140">
        <v>294.6</v>
      </c>
      <c r="AQ19" s="140">
        <v>285.9</v>
      </c>
      <c r="AR19" s="140">
        <v>271.4</v>
      </c>
      <c r="AS19" s="140">
        <v>270.9</v>
      </c>
      <c r="AT19" s="141">
        <v>280.6</v>
      </c>
      <c r="AU19" s="140">
        <v>268.6</v>
      </c>
      <c r="AV19" s="140">
        <v>274.4</v>
      </c>
      <c r="AW19" s="140">
        <v>282.5</v>
      </c>
      <c r="AX19" s="140">
        <v>275.9</v>
      </c>
      <c r="AY19" s="141">
        <v>275.4</v>
      </c>
      <c r="AZ19" s="140">
        <v>272.5</v>
      </c>
      <c r="BA19" s="140">
        <v>266.3</v>
      </c>
      <c r="BB19" s="140">
        <v>274.9</v>
      </c>
      <c r="BC19" s="140">
        <v>303.6</v>
      </c>
      <c r="BD19" s="141">
        <v>279.2</v>
      </c>
      <c r="BE19" s="505">
        <v>297</v>
      </c>
      <c r="BF19" s="140">
        <v>294</v>
      </c>
      <c r="BG19" s="140">
        <v>283.1</v>
      </c>
      <c r="BH19" s="140">
        <v>283.1</v>
      </c>
      <c r="BI19" s="141">
        <v>289.4</v>
      </c>
    </row>
    <row r="20" spans="1:61" ht="12.75" customHeight="1">
      <c r="A20" s="153" t="s">
        <v>310</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40">
        <v>22.1</v>
      </c>
      <c r="AL20" s="140">
        <v>20.1</v>
      </c>
      <c r="AM20" s="140">
        <v>20.1</v>
      </c>
      <c r="AN20" s="140">
        <v>23.1</v>
      </c>
      <c r="AO20" s="141">
        <v>21.3</v>
      </c>
      <c r="AP20" s="154"/>
      <c r="AQ20" s="154"/>
      <c r="AR20" s="154"/>
      <c r="AS20" s="154"/>
      <c r="AT20" s="154"/>
      <c r="AU20" s="154"/>
      <c r="AV20" s="154"/>
      <c r="AW20" s="154"/>
      <c r="AX20" s="154"/>
      <c r="AY20" s="154"/>
      <c r="AZ20" s="154"/>
      <c r="BA20" s="154"/>
      <c r="BB20" s="154"/>
      <c r="BC20" s="154"/>
      <c r="BD20" s="154"/>
      <c r="BE20" s="507"/>
      <c r="BF20" s="154"/>
      <c r="BG20" s="154"/>
      <c r="BH20" s="154"/>
      <c r="BI20" s="154"/>
    </row>
    <row r="21" spans="1:61" s="471" customFormat="1" ht="12.75" customHeight="1">
      <c r="A21" s="468" t="s">
        <v>514</v>
      </c>
      <c r="B21" s="469"/>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02"/>
      <c r="AL21" s="402"/>
      <c r="AM21" s="402"/>
      <c r="AN21" s="402"/>
      <c r="AO21" s="469"/>
      <c r="AP21" s="469"/>
      <c r="AQ21" s="469"/>
      <c r="AR21" s="402">
        <v>37.1</v>
      </c>
      <c r="AS21" s="402">
        <v>37.2</v>
      </c>
      <c r="AT21" s="470">
        <v>38.2</v>
      </c>
      <c r="AU21" s="402">
        <v>36.9</v>
      </c>
      <c r="AV21" s="402">
        <v>37.85</v>
      </c>
      <c r="AW21" s="402">
        <v>38.96</v>
      </c>
      <c r="AX21" s="402">
        <v>37.45</v>
      </c>
      <c r="AY21" s="470">
        <v>37.79</v>
      </c>
      <c r="AZ21" s="402">
        <v>36.8</v>
      </c>
      <c r="BA21" s="402">
        <v>36.03</v>
      </c>
      <c r="BB21" s="402">
        <v>36.84</v>
      </c>
      <c r="BC21" s="402">
        <v>39.45</v>
      </c>
      <c r="BD21" s="470">
        <v>37.53</v>
      </c>
      <c r="BE21" s="506">
        <v>39.29</v>
      </c>
      <c r="BF21" s="402">
        <v>39.1</v>
      </c>
      <c r="BG21" s="402">
        <v>37.88</v>
      </c>
      <c r="BH21" s="402">
        <v>37.62</v>
      </c>
      <c r="BI21" s="470">
        <v>38.48</v>
      </c>
    </row>
    <row r="22" spans="1:61" s="471" customFormat="1" ht="12.75" customHeight="1">
      <c r="A22" s="468" t="s">
        <v>515</v>
      </c>
      <c r="B22" s="469"/>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02"/>
      <c r="AL22" s="402"/>
      <c r="AM22" s="402"/>
      <c r="AN22" s="402"/>
      <c r="AO22" s="469"/>
      <c r="AP22" s="469"/>
      <c r="AQ22" s="469"/>
      <c r="AR22" s="402">
        <v>5.12</v>
      </c>
      <c r="AS22" s="402">
        <v>4.93</v>
      </c>
      <c r="AT22" s="470">
        <v>5.29</v>
      </c>
      <c r="AU22" s="402">
        <v>5.27</v>
      </c>
      <c r="AV22" s="402">
        <v>5.71</v>
      </c>
      <c r="AW22" s="402">
        <v>5.62</v>
      </c>
      <c r="AX22" s="402">
        <v>5.42</v>
      </c>
      <c r="AY22" s="470">
        <v>5.51</v>
      </c>
      <c r="AZ22" s="402">
        <v>5.42</v>
      </c>
      <c r="BA22" s="402">
        <v>5.13</v>
      </c>
      <c r="BB22" s="402">
        <v>5.28</v>
      </c>
      <c r="BC22" s="402">
        <v>5.57</v>
      </c>
      <c r="BD22" s="470">
        <v>5.35</v>
      </c>
      <c r="BE22" s="506">
        <v>5.76</v>
      </c>
      <c r="BF22" s="402">
        <v>5.88</v>
      </c>
      <c r="BG22" s="402">
        <v>5.98</v>
      </c>
      <c r="BH22" s="402">
        <v>5.81</v>
      </c>
      <c r="BI22" s="470">
        <v>5.86</v>
      </c>
    </row>
    <row r="23" spans="58:61" ht="13.5" thickBot="1">
      <c r="BF23" s="501"/>
      <c r="BG23" s="501"/>
      <c r="BH23" s="501"/>
      <c r="BI23" s="501"/>
    </row>
    <row r="24" spans="1:61" s="85" customFormat="1" ht="12.75">
      <c r="A24" s="158"/>
      <c r="B24" s="159">
        <v>36981</v>
      </c>
      <c r="C24" s="159">
        <v>37072</v>
      </c>
      <c r="D24" s="159">
        <v>37164</v>
      </c>
      <c r="E24" s="159">
        <v>37256</v>
      </c>
      <c r="F24" s="159"/>
      <c r="G24" s="159">
        <v>37346</v>
      </c>
      <c r="H24" s="159">
        <v>37437</v>
      </c>
      <c r="I24" s="159">
        <v>37529</v>
      </c>
      <c r="J24" s="159">
        <v>37621</v>
      </c>
      <c r="K24" s="159"/>
      <c r="L24" s="159">
        <v>37711</v>
      </c>
      <c r="M24" s="159">
        <v>37802</v>
      </c>
      <c r="N24" s="159">
        <v>37894</v>
      </c>
      <c r="O24" s="159">
        <v>37986</v>
      </c>
      <c r="P24" s="159"/>
      <c r="Q24" s="159">
        <v>38077</v>
      </c>
      <c r="R24" s="159">
        <v>38168</v>
      </c>
      <c r="S24" s="159">
        <v>38260</v>
      </c>
      <c r="T24" s="159">
        <v>38352</v>
      </c>
      <c r="U24" s="159"/>
      <c r="V24" s="159">
        <v>38442</v>
      </c>
      <c r="W24" s="159">
        <v>38533</v>
      </c>
      <c r="X24" s="159">
        <v>38625</v>
      </c>
      <c r="Y24" s="159">
        <v>38717</v>
      </c>
      <c r="Z24" s="159"/>
      <c r="AA24" s="159">
        <v>38807</v>
      </c>
      <c r="AB24" s="159">
        <v>38898</v>
      </c>
      <c r="AC24" s="159">
        <v>38990</v>
      </c>
      <c r="AD24" s="159">
        <v>38717</v>
      </c>
      <c r="AE24" s="159"/>
      <c r="AF24" s="159">
        <v>39172</v>
      </c>
      <c r="AG24" s="159">
        <v>39263</v>
      </c>
      <c r="AH24" s="159">
        <v>39355</v>
      </c>
      <c r="AI24" s="159">
        <v>39447</v>
      </c>
      <c r="AJ24" s="158"/>
      <c r="AK24" s="159">
        <v>39538</v>
      </c>
      <c r="AL24" s="159">
        <v>39629</v>
      </c>
      <c r="AM24" s="159">
        <v>39721</v>
      </c>
      <c r="AN24" s="159">
        <v>39813</v>
      </c>
      <c r="AO24" s="158"/>
      <c r="AP24" s="159">
        <v>39903</v>
      </c>
      <c r="AQ24" s="159">
        <v>39994</v>
      </c>
      <c r="AR24" s="159">
        <v>40086</v>
      </c>
      <c r="AS24" s="159">
        <v>40178</v>
      </c>
      <c r="AT24" s="134"/>
      <c r="AU24" s="159">
        <v>40268</v>
      </c>
      <c r="AV24" s="159">
        <v>40359</v>
      </c>
      <c r="AW24" s="159">
        <v>40451</v>
      </c>
      <c r="AX24" s="159">
        <v>40543</v>
      </c>
      <c r="AY24" s="134"/>
      <c r="AZ24" s="159">
        <v>40633</v>
      </c>
      <c r="BA24" s="159">
        <v>40724</v>
      </c>
      <c r="BB24" s="159">
        <v>40816</v>
      </c>
      <c r="BC24" s="159">
        <v>40908</v>
      </c>
      <c r="BD24" s="134" t="s">
        <v>574</v>
      </c>
      <c r="BE24" s="159">
        <v>40999</v>
      </c>
      <c r="BF24" s="159">
        <v>41111</v>
      </c>
      <c r="BG24" s="159">
        <v>41182</v>
      </c>
      <c r="BH24" s="159">
        <v>41274</v>
      </c>
      <c r="BI24" s="134" t="s">
        <v>620</v>
      </c>
    </row>
    <row r="25" spans="1:61" ht="12.75">
      <c r="A25" s="155"/>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5"/>
      <c r="AK25" s="156"/>
      <c r="AL25" s="156"/>
      <c r="AM25" s="156"/>
      <c r="AN25" s="156"/>
      <c r="AO25" s="155"/>
      <c r="AP25" s="156"/>
      <c r="AQ25" s="156"/>
      <c r="AR25" s="156"/>
      <c r="AS25" s="156"/>
      <c r="AT25" s="155"/>
      <c r="AU25" s="156"/>
      <c r="AV25" s="156"/>
      <c r="AW25" s="156"/>
      <c r="AX25" s="156"/>
      <c r="AY25" s="155"/>
      <c r="AZ25" s="156"/>
      <c r="BA25" s="156"/>
      <c r="BB25" s="156"/>
      <c r="BC25" s="156"/>
      <c r="BD25" s="156"/>
      <c r="BE25" s="156"/>
      <c r="BF25" s="156"/>
      <c r="BG25" s="156"/>
      <c r="BH25" s="156"/>
      <c r="BI25" s="156"/>
    </row>
    <row r="26" spans="1:61" ht="12.75">
      <c r="A26" s="151" t="s">
        <v>214</v>
      </c>
      <c r="B26" s="140">
        <v>302.8</v>
      </c>
      <c r="C26" s="140">
        <v>287.4</v>
      </c>
      <c r="D26" s="140">
        <v>281.3</v>
      </c>
      <c r="E26" s="140">
        <v>279</v>
      </c>
      <c r="F26" s="154"/>
      <c r="G26" s="140">
        <v>279.2</v>
      </c>
      <c r="H26" s="140">
        <v>246.7</v>
      </c>
      <c r="I26" s="140">
        <v>247.4</v>
      </c>
      <c r="J26" s="140">
        <v>225.2</v>
      </c>
      <c r="K26" s="154"/>
      <c r="L26" s="140">
        <v>227</v>
      </c>
      <c r="M26" s="140">
        <v>233</v>
      </c>
      <c r="N26" s="140">
        <v>218.2</v>
      </c>
      <c r="O26" s="140">
        <v>207.9</v>
      </c>
      <c r="P26" s="154"/>
      <c r="Q26" s="140">
        <v>203.7</v>
      </c>
      <c r="R26" s="140">
        <v>208.8</v>
      </c>
      <c r="S26" s="140">
        <v>200.5</v>
      </c>
      <c r="T26" s="140">
        <v>180.3</v>
      </c>
      <c r="U26" s="154"/>
      <c r="V26" s="140">
        <v>190.8</v>
      </c>
      <c r="W26" s="140">
        <v>204.8</v>
      </c>
      <c r="X26" s="140">
        <v>207.6</v>
      </c>
      <c r="Y26" s="140">
        <v>213.6</v>
      </c>
      <c r="Z26" s="154"/>
      <c r="AA26" s="140">
        <v>219.2</v>
      </c>
      <c r="AB26" s="140">
        <v>221.8</v>
      </c>
      <c r="AC26" s="140">
        <v>215.7</v>
      </c>
      <c r="AD26" s="140">
        <v>191.6</v>
      </c>
      <c r="AE26" s="154"/>
      <c r="AF26" s="140">
        <v>186.1</v>
      </c>
      <c r="AG26" s="140">
        <v>182.7</v>
      </c>
      <c r="AH26" s="140">
        <v>176.8</v>
      </c>
      <c r="AI26" s="140">
        <v>172.6</v>
      </c>
      <c r="AJ26" s="154"/>
      <c r="AK26" s="140">
        <v>163.9</v>
      </c>
      <c r="AL26" s="140">
        <v>149.8</v>
      </c>
      <c r="AM26" s="140">
        <v>169.2</v>
      </c>
      <c r="AN26" s="140">
        <v>187.9</v>
      </c>
      <c r="AO26" s="154"/>
      <c r="AP26" s="140">
        <v>233</v>
      </c>
      <c r="AQ26" s="140">
        <v>193.3</v>
      </c>
      <c r="AR26" s="140">
        <v>184.8</v>
      </c>
      <c r="AS26" s="140">
        <v>188.1</v>
      </c>
      <c r="AT26" s="154"/>
      <c r="AU26" s="140">
        <v>198</v>
      </c>
      <c r="AV26" s="140">
        <v>234.5</v>
      </c>
      <c r="AW26" s="140">
        <v>203.4</v>
      </c>
      <c r="AX26" s="140">
        <v>208.7</v>
      </c>
      <c r="AY26" s="154"/>
      <c r="AZ26" s="140">
        <v>187</v>
      </c>
      <c r="BA26" s="140">
        <v>183.4</v>
      </c>
      <c r="BB26" s="140">
        <v>215.7</v>
      </c>
      <c r="BC26" s="140">
        <v>240.7</v>
      </c>
      <c r="BD26" s="140">
        <v>240.7</v>
      </c>
      <c r="BE26" s="135">
        <v>221.6</v>
      </c>
      <c r="BF26" s="140">
        <v>229.1</v>
      </c>
      <c r="BG26" s="140">
        <v>219.2</v>
      </c>
      <c r="BH26" s="140">
        <v>220.9</v>
      </c>
      <c r="BI26" s="140">
        <v>220.9</v>
      </c>
    </row>
    <row r="27" spans="1:61" ht="12.75">
      <c r="A27" s="151" t="s">
        <v>215</v>
      </c>
      <c r="B27" s="140">
        <v>266.7</v>
      </c>
      <c r="C27" s="140">
        <v>243.6</v>
      </c>
      <c r="D27" s="140">
        <v>257.8</v>
      </c>
      <c r="E27" s="140">
        <v>246.3</v>
      </c>
      <c r="F27" s="154"/>
      <c r="G27" s="140">
        <v>243.5</v>
      </c>
      <c r="H27" s="140">
        <v>244.7</v>
      </c>
      <c r="I27" s="140">
        <v>243.3</v>
      </c>
      <c r="J27" s="140">
        <v>235.9</v>
      </c>
      <c r="K27" s="154"/>
      <c r="L27" s="140">
        <v>246.8</v>
      </c>
      <c r="M27" s="140">
        <v>266.3</v>
      </c>
      <c r="N27" s="140">
        <v>254.6</v>
      </c>
      <c r="O27" s="140">
        <v>262.2</v>
      </c>
      <c r="P27" s="154"/>
      <c r="Q27" s="140">
        <v>248.9</v>
      </c>
      <c r="R27" s="140">
        <v>253.2</v>
      </c>
      <c r="S27" s="140">
        <v>247</v>
      </c>
      <c r="T27" s="140">
        <v>245.9</v>
      </c>
      <c r="U27" s="154"/>
      <c r="V27" s="140">
        <v>247.2</v>
      </c>
      <c r="W27" s="140">
        <v>247.4</v>
      </c>
      <c r="X27" s="140">
        <v>249.6</v>
      </c>
      <c r="Y27" s="140">
        <v>252.7</v>
      </c>
      <c r="Z27" s="154"/>
      <c r="AA27" s="140">
        <v>265.5</v>
      </c>
      <c r="AB27" s="140">
        <v>281.9</v>
      </c>
      <c r="AC27" s="140">
        <v>273.5</v>
      </c>
      <c r="AD27" s="140">
        <v>252.3</v>
      </c>
      <c r="AE27" s="154"/>
      <c r="AF27" s="140">
        <v>247.8</v>
      </c>
      <c r="AG27" s="140">
        <v>245.9</v>
      </c>
      <c r="AH27" s="140">
        <v>250.8</v>
      </c>
      <c r="AI27" s="140">
        <v>253.4</v>
      </c>
      <c r="AJ27" s="154"/>
      <c r="AK27" s="140">
        <v>259.4</v>
      </c>
      <c r="AL27" s="140">
        <v>237</v>
      </c>
      <c r="AM27" s="140">
        <v>243.2</v>
      </c>
      <c r="AN27" s="140">
        <v>264.8</v>
      </c>
      <c r="AO27" s="154"/>
      <c r="AP27" s="140">
        <v>309.2</v>
      </c>
      <c r="AQ27" s="140">
        <v>272.4</v>
      </c>
      <c r="AR27" s="140">
        <v>270.4</v>
      </c>
      <c r="AS27" s="140">
        <v>270.8</v>
      </c>
      <c r="AT27" s="154"/>
      <c r="AU27" s="140">
        <v>266.4</v>
      </c>
      <c r="AV27" s="140">
        <v>286.5</v>
      </c>
      <c r="AW27" s="140">
        <v>277.3</v>
      </c>
      <c r="AX27" s="140">
        <v>278.8</v>
      </c>
      <c r="AY27" s="154"/>
      <c r="AZ27" s="140">
        <v>265.8</v>
      </c>
      <c r="BA27" s="140">
        <v>265.6</v>
      </c>
      <c r="BB27" s="140">
        <v>292.1</v>
      </c>
      <c r="BC27" s="140">
        <v>311.1</v>
      </c>
      <c r="BD27" s="140">
        <v>311.1</v>
      </c>
      <c r="BE27" s="135">
        <v>295.6</v>
      </c>
      <c r="BF27" s="140">
        <v>288.2</v>
      </c>
      <c r="BG27" s="140">
        <v>283.7</v>
      </c>
      <c r="BH27" s="140">
        <v>291.3</v>
      </c>
      <c r="BI27" s="140">
        <v>291.3</v>
      </c>
    </row>
    <row r="28" spans="1:61" s="471" customFormat="1" ht="12.75">
      <c r="A28" s="472" t="s">
        <v>438</v>
      </c>
      <c r="B28" s="402"/>
      <c r="C28" s="402"/>
      <c r="D28" s="402"/>
      <c r="E28" s="402"/>
      <c r="F28" s="469"/>
      <c r="G28" s="402"/>
      <c r="H28" s="402"/>
      <c r="I28" s="402"/>
      <c r="J28" s="402"/>
      <c r="K28" s="469"/>
      <c r="L28" s="402"/>
      <c r="M28" s="402"/>
      <c r="N28" s="402"/>
      <c r="O28" s="402"/>
      <c r="P28" s="469"/>
      <c r="Q28" s="402"/>
      <c r="R28" s="402"/>
      <c r="S28" s="402"/>
      <c r="T28" s="402"/>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02">
        <v>37.49</v>
      </c>
      <c r="AR28" s="402">
        <v>37.1</v>
      </c>
      <c r="AS28" s="402">
        <v>37.1</v>
      </c>
      <c r="AT28" s="469"/>
      <c r="AU28" s="402">
        <v>36.7</v>
      </c>
      <c r="AV28" s="402">
        <v>39.81</v>
      </c>
      <c r="AW28" s="402">
        <v>38.01</v>
      </c>
      <c r="AX28" s="402">
        <v>37.75</v>
      </c>
      <c r="AY28" s="469"/>
      <c r="AZ28" s="402">
        <v>36</v>
      </c>
      <c r="BA28" s="402">
        <v>35.94</v>
      </c>
      <c r="BB28" s="402">
        <v>38.98</v>
      </c>
      <c r="BC28" s="402">
        <v>41.27</v>
      </c>
      <c r="BD28" s="402">
        <v>41.27</v>
      </c>
      <c r="BE28" s="471">
        <v>39.34</v>
      </c>
      <c r="BF28" s="402">
        <v>38.37</v>
      </c>
      <c r="BG28" s="402">
        <v>38.16</v>
      </c>
      <c r="BH28" s="402">
        <v>38.59</v>
      </c>
      <c r="BI28" s="402">
        <v>38.59</v>
      </c>
    </row>
    <row r="29" spans="1:61" s="471" customFormat="1" ht="12.75">
      <c r="A29" s="472" t="s">
        <v>439</v>
      </c>
      <c r="B29" s="402"/>
      <c r="C29" s="402"/>
      <c r="D29" s="402"/>
      <c r="E29" s="402"/>
      <c r="F29" s="469"/>
      <c r="G29" s="402"/>
      <c r="H29" s="402"/>
      <c r="I29" s="402"/>
      <c r="J29" s="402"/>
      <c r="K29" s="469"/>
      <c r="L29" s="402"/>
      <c r="M29" s="402"/>
      <c r="N29" s="402"/>
      <c r="O29" s="402"/>
      <c r="P29" s="469"/>
      <c r="Q29" s="402"/>
      <c r="R29" s="402"/>
      <c r="S29" s="402"/>
      <c r="T29" s="402"/>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02">
        <v>5.2</v>
      </c>
      <c r="AR29" s="402">
        <v>5</v>
      </c>
      <c r="AS29" s="402">
        <v>5.1</v>
      </c>
      <c r="AT29" s="469"/>
      <c r="AU29" s="402">
        <v>5.4</v>
      </c>
      <c r="AV29" s="402">
        <v>5.89</v>
      </c>
      <c r="AW29" s="402">
        <v>5.35</v>
      </c>
      <c r="AX29" s="402">
        <v>5.53</v>
      </c>
      <c r="AY29" s="469"/>
      <c r="AZ29" s="402">
        <v>5.19</v>
      </c>
      <c r="BA29" s="402">
        <v>5.1</v>
      </c>
      <c r="BB29" s="402">
        <v>5.53</v>
      </c>
      <c r="BC29" s="402">
        <v>5.83</v>
      </c>
      <c r="BD29" s="402">
        <v>5.83</v>
      </c>
      <c r="BE29" s="471">
        <v>5.63</v>
      </c>
      <c r="BF29" s="402">
        <v>5.97</v>
      </c>
      <c r="BG29" s="402">
        <v>5.74</v>
      </c>
      <c r="BH29" s="402">
        <v>5.73</v>
      </c>
      <c r="BI29" s="402">
        <v>5.73</v>
      </c>
    </row>
    <row r="30" ht="12.75"/>
    <row r="31" ht="12.75">
      <c r="A31" s="135" t="s">
        <v>240</v>
      </c>
    </row>
    <row r="32" ht="12.75">
      <c r="A32" s="135" t="s">
        <v>241</v>
      </c>
    </row>
    <row r="33" ht="12.75">
      <c r="A33" s="135" t="s">
        <v>512</v>
      </c>
    </row>
    <row r="34" ht="25.5">
      <c r="A34" s="157" t="s">
        <v>264</v>
      </c>
    </row>
    <row r="35" ht="12.75">
      <c r="A35" s="157"/>
    </row>
    <row r="36" ht="12.75"/>
  </sheetData>
  <sheetProtection/>
  <printOptions/>
  <pageMargins left="0.75" right="0.75" top="1" bottom="1" header="0.5" footer="0.5"/>
  <pageSetup fitToHeight="1" fitToWidth="1" horizontalDpi="300" verticalDpi="300" orientation="landscape" paperSize="9" scale="34" r:id="rId1"/>
</worksheet>
</file>

<file path=xl/worksheets/sheet2.xml><?xml version="1.0" encoding="utf-8"?>
<worksheet xmlns="http://schemas.openxmlformats.org/spreadsheetml/2006/main" xmlns:r="http://schemas.openxmlformats.org/officeDocument/2006/relationships">
  <sheetPr>
    <tabColor indexed="57"/>
  </sheetPr>
  <dimension ref="A2:BW28"/>
  <sheetViews>
    <sheetView zoomScalePageLayoutView="0" workbookViewId="0" topLeftCell="A1">
      <pane xSplit="21" ySplit="3" topLeftCell="BL4" activePane="bottomRight" state="frozen"/>
      <selection pane="topLeft" activeCell="A1" sqref="A1"/>
      <selection pane="topRight" activeCell="V1" sqref="V1"/>
      <selection pane="bottomLeft" activeCell="A4" sqref="A4"/>
      <selection pane="bottomRight" activeCell="A2" sqref="A2"/>
    </sheetView>
  </sheetViews>
  <sheetFormatPr defaultColWidth="9.140625" defaultRowHeight="12.75" zeroHeight="1" outlineLevelCol="1"/>
  <cols>
    <col min="1" max="1" width="54.8515625" style="3" customWidth="1"/>
    <col min="2" max="21" width="9.140625" style="3" hidden="1" customWidth="1" outlineLevel="1"/>
    <col min="22" max="22" width="9.140625" style="3" customWidth="1" collapsed="1"/>
    <col min="23" max="44" width="9.140625" style="3" customWidth="1"/>
    <col min="45" max="45" width="12.140625" style="265" customWidth="1"/>
    <col min="46" max="46" width="9.140625" style="3" customWidth="1"/>
    <col min="47" max="47" width="9.140625" style="265" customWidth="1"/>
    <col min="48" max="48" width="9.140625" style="3" customWidth="1"/>
    <col min="49" max="49" width="9.57421875" style="265" bestFit="1" customWidth="1"/>
    <col min="50" max="50" width="9.140625" style="3" customWidth="1"/>
    <col min="51" max="52" width="9.7109375" style="3" bestFit="1" customWidth="1"/>
    <col min="53" max="53" width="9.7109375" style="265" customWidth="1"/>
    <col min="54" max="54" width="12.7109375" style="265" customWidth="1"/>
    <col min="55" max="55" width="9.7109375" style="3" bestFit="1" customWidth="1"/>
    <col min="56" max="56" width="14.140625" style="3" customWidth="1"/>
    <col min="57" max="57" width="14.140625" style="360" customWidth="1"/>
    <col min="58" max="61" width="14.140625" style="3" customWidth="1"/>
    <col min="62" max="62" width="9.7109375" style="3" customWidth="1"/>
    <col min="63" max="63" width="10.421875" style="3" customWidth="1"/>
    <col min="64" max="65" width="9.140625" style="171" customWidth="1"/>
    <col min="66" max="66" width="10.8515625" style="171" customWidth="1"/>
    <col min="67" max="67" width="9.140625" style="171" customWidth="1"/>
    <col min="68" max="68" width="11.421875" style="171" customWidth="1"/>
    <col min="69" max="69" width="11.57421875" style="171" customWidth="1"/>
    <col min="70" max="70" width="11.28125" style="171" customWidth="1"/>
    <col min="71" max="71" width="9.140625" style="171" customWidth="1"/>
    <col min="72" max="16384" width="9.140625" style="3" customWidth="1"/>
  </cols>
  <sheetData>
    <row r="1" ht="12.75"/>
    <row r="2" spans="1:75" ht="25.5" customHeight="1">
      <c r="A2" s="5" t="s">
        <v>543</v>
      </c>
      <c r="B2" s="6" t="s">
        <v>2</v>
      </c>
      <c r="C2" s="6" t="s">
        <v>3</v>
      </c>
      <c r="D2" s="6" t="s">
        <v>4</v>
      </c>
      <c r="E2" s="6" t="s">
        <v>5</v>
      </c>
      <c r="F2" s="12" t="s">
        <v>6</v>
      </c>
      <c r="G2" s="6" t="s">
        <v>12</v>
      </c>
      <c r="H2" s="6" t="s">
        <v>13</v>
      </c>
      <c r="I2" s="6" t="s">
        <v>14</v>
      </c>
      <c r="J2" s="6" t="s">
        <v>15</v>
      </c>
      <c r="K2" s="12" t="s">
        <v>16</v>
      </c>
      <c r="L2" s="6" t="s">
        <v>17</v>
      </c>
      <c r="M2" s="6" t="s">
        <v>18</v>
      </c>
      <c r="N2" s="6" t="s">
        <v>19</v>
      </c>
      <c r="O2" s="6" t="s">
        <v>20</v>
      </c>
      <c r="P2" s="12" t="s">
        <v>21</v>
      </c>
      <c r="Q2" s="6" t="s">
        <v>22</v>
      </c>
      <c r="R2" s="6" t="s">
        <v>23</v>
      </c>
      <c r="S2" s="6" t="s">
        <v>24</v>
      </c>
      <c r="T2" s="6" t="s">
        <v>25</v>
      </c>
      <c r="U2" s="12" t="s">
        <v>26</v>
      </c>
      <c r="V2" s="6" t="s">
        <v>27</v>
      </c>
      <c r="W2" s="6" t="s">
        <v>28</v>
      </c>
      <c r="X2" s="6" t="s">
        <v>29</v>
      </c>
      <c r="Y2" s="6" t="s">
        <v>30</v>
      </c>
      <c r="Z2" s="12" t="s">
        <v>31</v>
      </c>
      <c r="AA2" s="6" t="s">
        <v>32</v>
      </c>
      <c r="AB2" s="6" t="s">
        <v>33</v>
      </c>
      <c r="AC2" s="6" t="s">
        <v>34</v>
      </c>
      <c r="AD2" s="6" t="s">
        <v>271</v>
      </c>
      <c r="AE2" s="12" t="s">
        <v>272</v>
      </c>
      <c r="AF2" s="6" t="s">
        <v>274</v>
      </c>
      <c r="AG2" s="6" t="s">
        <v>276</v>
      </c>
      <c r="AH2" s="6" t="s">
        <v>278</v>
      </c>
      <c r="AI2" s="6" t="s">
        <v>280</v>
      </c>
      <c r="AJ2" s="12" t="s">
        <v>281</v>
      </c>
      <c r="AK2" s="6" t="s">
        <v>289</v>
      </c>
      <c r="AL2" s="6" t="s">
        <v>290</v>
      </c>
      <c r="AM2" s="6" t="s">
        <v>291</v>
      </c>
      <c r="AN2" s="6" t="s">
        <v>292</v>
      </c>
      <c r="AO2" s="12" t="s">
        <v>293</v>
      </c>
      <c r="AP2" s="6" t="s">
        <v>329</v>
      </c>
      <c r="AQ2" s="6" t="s">
        <v>330</v>
      </c>
      <c r="AR2" s="6" t="s">
        <v>331</v>
      </c>
      <c r="AS2" s="285" t="s">
        <v>490</v>
      </c>
      <c r="AT2" s="6" t="s">
        <v>332</v>
      </c>
      <c r="AU2" s="285" t="s">
        <v>477</v>
      </c>
      <c r="AV2" s="12" t="s">
        <v>333</v>
      </c>
      <c r="AW2" s="271" t="s">
        <v>463</v>
      </c>
      <c r="AX2" s="6" t="s">
        <v>448</v>
      </c>
      <c r="AY2" s="6" t="s">
        <v>451</v>
      </c>
      <c r="AZ2" s="6" t="s">
        <v>453</v>
      </c>
      <c r="BA2" s="264" t="s">
        <v>461</v>
      </c>
      <c r="BB2" s="264" t="s">
        <v>491</v>
      </c>
      <c r="BC2" s="6" t="s">
        <v>454</v>
      </c>
      <c r="BD2" s="354" t="s">
        <v>457</v>
      </c>
      <c r="BE2" s="361" t="s">
        <v>492</v>
      </c>
      <c r="BF2" s="6" t="s">
        <v>553</v>
      </c>
      <c r="BG2" s="6" t="s">
        <v>560</v>
      </c>
      <c r="BH2" s="6" t="s">
        <v>493</v>
      </c>
      <c r="BI2" s="6" t="s">
        <v>582</v>
      </c>
      <c r="BJ2" s="6" t="s">
        <v>494</v>
      </c>
      <c r="BK2" s="6" t="s">
        <v>573</v>
      </c>
      <c r="BL2" s="6" t="s">
        <v>600</v>
      </c>
      <c r="BM2" s="6" t="s">
        <v>554</v>
      </c>
      <c r="BN2" s="6" t="s">
        <v>614</v>
      </c>
      <c r="BO2" s="6" t="s">
        <v>561</v>
      </c>
      <c r="BP2" s="6" t="s">
        <v>572</v>
      </c>
      <c r="BQ2" s="6" t="s">
        <v>570</v>
      </c>
      <c r="BR2" s="6" t="s">
        <v>571</v>
      </c>
      <c r="BS2" s="6" t="s">
        <v>595</v>
      </c>
      <c r="BT2" s="6" t="s">
        <v>605</v>
      </c>
      <c r="BU2" s="6" t="s">
        <v>617</v>
      </c>
      <c r="BV2" s="6" t="s">
        <v>619</v>
      </c>
      <c r="BW2" s="6" t="s">
        <v>620</v>
      </c>
    </row>
    <row r="3" spans="1:71" ht="12.75" customHeight="1">
      <c r="A3" s="131" t="s">
        <v>524</v>
      </c>
      <c r="BR3" s="3"/>
      <c r="BS3" s="3"/>
    </row>
    <row r="4" spans="1:75" ht="12.75">
      <c r="A4" s="8" t="s">
        <v>7</v>
      </c>
      <c r="B4" s="59">
        <v>305.896</v>
      </c>
      <c r="C4" s="59">
        <v>261.656</v>
      </c>
      <c r="D4" s="59">
        <v>290.646</v>
      </c>
      <c r="E4" s="59">
        <v>316.571</v>
      </c>
      <c r="F4" s="13">
        <v>1174.769</v>
      </c>
      <c r="G4" s="59">
        <v>291.799</v>
      </c>
      <c r="H4" s="59">
        <v>286.52</v>
      </c>
      <c r="I4" s="59">
        <v>258.271</v>
      </c>
      <c r="J4" s="59">
        <v>323.067</v>
      </c>
      <c r="K4" s="13">
        <v>1159.657</v>
      </c>
      <c r="L4" s="59">
        <v>338.633</v>
      </c>
      <c r="M4" s="59">
        <v>354.146</v>
      </c>
      <c r="N4" s="59">
        <v>356.108</v>
      </c>
      <c r="O4" s="59">
        <v>455.151</v>
      </c>
      <c r="P4" s="13">
        <v>1504.038</v>
      </c>
      <c r="Q4" s="59">
        <v>472.757</v>
      </c>
      <c r="R4" s="59">
        <v>424.077</v>
      </c>
      <c r="S4" s="59">
        <v>452.351</v>
      </c>
      <c r="T4" s="59">
        <v>606.645</v>
      </c>
      <c r="U4" s="13">
        <v>1955.83</v>
      </c>
      <c r="V4" s="59">
        <v>571.229</v>
      </c>
      <c r="W4" s="59">
        <v>545.054</v>
      </c>
      <c r="X4" s="59">
        <v>585.759</v>
      </c>
      <c r="Y4" s="59">
        <v>753.122</v>
      </c>
      <c r="Z4" s="13">
        <v>2455.164</v>
      </c>
      <c r="AA4" s="59">
        <v>798.6</v>
      </c>
      <c r="AB4" s="59">
        <v>702.169</v>
      </c>
      <c r="AC4" s="59">
        <v>762.3</v>
      </c>
      <c r="AD4" s="59">
        <f aca="true" t="shared" si="0" ref="AD4:AD13">AE4-AC4-AB4-AA4</f>
        <v>628.0310000000003</v>
      </c>
      <c r="AE4" s="13">
        <v>2891.1</v>
      </c>
      <c r="AF4" s="59">
        <v>515.8</v>
      </c>
      <c r="AG4" s="59">
        <v>606.6</v>
      </c>
      <c r="AH4" s="59">
        <v>685.1</v>
      </c>
      <c r="AI4" s="59">
        <v>786.5</v>
      </c>
      <c r="AJ4" s="13">
        <v>2594</v>
      </c>
      <c r="AK4" s="59">
        <v>786.1</v>
      </c>
      <c r="AL4" s="59">
        <v>920.5</v>
      </c>
      <c r="AM4" s="59">
        <v>976.5</v>
      </c>
      <c r="AN4" s="59">
        <v>852</v>
      </c>
      <c r="AO4" s="13">
        <v>3535.1</v>
      </c>
      <c r="AP4" s="59">
        <v>632.6</v>
      </c>
      <c r="AQ4" s="59">
        <v>698.6</v>
      </c>
      <c r="AR4" s="59">
        <v>922</v>
      </c>
      <c r="AS4" s="282">
        <v>2263.2509999999997</v>
      </c>
      <c r="AT4" s="59">
        <v>980.3</v>
      </c>
      <c r="AU4" s="282">
        <v>991.449</v>
      </c>
      <c r="AV4" s="13">
        <v>3233.4</v>
      </c>
      <c r="AW4" s="277">
        <v>3254.7</v>
      </c>
      <c r="AX4" s="59">
        <v>866.2</v>
      </c>
      <c r="AY4" s="59">
        <v>1048.407</v>
      </c>
      <c r="AZ4" s="59">
        <v>1181.9</v>
      </c>
      <c r="BA4" s="282">
        <v>1189.9</v>
      </c>
      <c r="BB4" s="282">
        <v>3119.84</v>
      </c>
      <c r="BC4" s="59">
        <v>1177.131</v>
      </c>
      <c r="BD4" s="355">
        <v>4296.971</v>
      </c>
      <c r="BE4" s="353">
        <v>876.14</v>
      </c>
      <c r="BF4" s="59">
        <v>1053.847</v>
      </c>
      <c r="BG4" s="59">
        <v>1189.853</v>
      </c>
      <c r="BH4" s="59">
        <v>1178.869</v>
      </c>
      <c r="BI4" s="59">
        <v>1178.869</v>
      </c>
      <c r="BJ4" s="13">
        <v>4298.709</v>
      </c>
      <c r="BK4" s="9">
        <v>4298.709</v>
      </c>
      <c r="BL4" s="59">
        <v>1177.4931000000001</v>
      </c>
      <c r="BM4" s="59">
        <v>1298.386</v>
      </c>
      <c r="BN4" s="59">
        <v>1298.6</v>
      </c>
      <c r="BO4" s="59">
        <v>1377.67</v>
      </c>
      <c r="BP4" s="59">
        <v>1377.67</v>
      </c>
      <c r="BQ4" s="59">
        <v>1489.23</v>
      </c>
      <c r="BR4" s="13">
        <v>5343.234</v>
      </c>
      <c r="BS4" s="59">
        <v>1348.31</v>
      </c>
      <c r="BT4" s="59">
        <v>1319.1</v>
      </c>
      <c r="BU4" s="59">
        <v>1432.11</v>
      </c>
      <c r="BV4" s="59">
        <v>1427.5</v>
      </c>
      <c r="BW4" s="13">
        <v>5527.1</v>
      </c>
    </row>
    <row r="5" spans="1:75" ht="12.75">
      <c r="A5" s="8" t="s">
        <v>8</v>
      </c>
      <c r="B5" s="59">
        <v>20.634</v>
      </c>
      <c r="C5" s="59">
        <v>2.609</v>
      </c>
      <c r="D5" s="59">
        <v>11.073</v>
      </c>
      <c r="E5" s="59">
        <v>37.833</v>
      </c>
      <c r="F5" s="13">
        <v>72.149</v>
      </c>
      <c r="G5" s="59">
        <v>28.512</v>
      </c>
      <c r="H5" s="59">
        <v>45.724</v>
      </c>
      <c r="I5" s="59">
        <v>33.346</v>
      </c>
      <c r="J5" s="59">
        <v>21.195</v>
      </c>
      <c r="K5" s="13">
        <v>128.777</v>
      </c>
      <c r="L5" s="59">
        <v>48.324</v>
      </c>
      <c r="M5" s="59">
        <v>23.209</v>
      </c>
      <c r="N5" s="59">
        <v>52.765</v>
      </c>
      <c r="O5" s="59">
        <v>54.223</v>
      </c>
      <c r="P5" s="13">
        <v>178.521</v>
      </c>
      <c r="Q5" s="59">
        <v>86.61</v>
      </c>
      <c r="R5" s="59">
        <v>72.667</v>
      </c>
      <c r="S5" s="59">
        <v>106.381</v>
      </c>
      <c r="T5" s="59">
        <v>91.672</v>
      </c>
      <c r="U5" s="13">
        <v>357.33</v>
      </c>
      <c r="V5" s="59">
        <v>119.307</v>
      </c>
      <c r="W5" s="59">
        <v>106.621</v>
      </c>
      <c r="X5" s="59">
        <v>96.362</v>
      </c>
      <c r="Y5" s="59">
        <v>105.646</v>
      </c>
      <c r="Z5" s="13">
        <v>427.936</v>
      </c>
      <c r="AA5" s="59">
        <v>187.02</v>
      </c>
      <c r="AB5" s="59">
        <v>134.9</v>
      </c>
      <c r="AC5" s="59">
        <v>127.1</v>
      </c>
      <c r="AD5" s="59">
        <f t="shared" si="0"/>
        <v>78.58000000000001</v>
      </c>
      <c r="AE5" s="13">
        <v>527.6</v>
      </c>
      <c r="AF5" s="59">
        <v>109.2</v>
      </c>
      <c r="AG5" s="59">
        <v>123.6</v>
      </c>
      <c r="AH5" s="59">
        <v>134.8</v>
      </c>
      <c r="AI5" s="59">
        <v>128.5</v>
      </c>
      <c r="AJ5" s="13">
        <v>496</v>
      </c>
      <c r="AK5" s="59">
        <v>101.6</v>
      </c>
      <c r="AL5" s="59">
        <v>123.2</v>
      </c>
      <c r="AM5" s="59">
        <v>75.2</v>
      </c>
      <c r="AN5" s="59">
        <v>51.3</v>
      </c>
      <c r="AO5" s="13">
        <v>351.3</v>
      </c>
      <c r="AP5" s="59">
        <v>107.6</v>
      </c>
      <c r="AQ5" s="59">
        <v>124</v>
      </c>
      <c r="AR5" s="59">
        <v>98.1</v>
      </c>
      <c r="AS5" s="282">
        <v>321.475</v>
      </c>
      <c r="AT5" s="59">
        <v>126.6</v>
      </c>
      <c r="AU5" s="282">
        <v>118.04400000000001</v>
      </c>
      <c r="AV5" s="13">
        <v>456.4</v>
      </c>
      <c r="AW5" s="277">
        <v>439.519</v>
      </c>
      <c r="AX5" s="59">
        <v>130.2</v>
      </c>
      <c r="AY5" s="59">
        <v>123.947</v>
      </c>
      <c r="AZ5" s="59">
        <v>163.3</v>
      </c>
      <c r="BA5" s="282">
        <v>150.6</v>
      </c>
      <c r="BB5" s="282">
        <v>380.01400000000007</v>
      </c>
      <c r="BC5" s="59">
        <v>139.147</v>
      </c>
      <c r="BD5" s="355">
        <v>519.1610000000001</v>
      </c>
      <c r="BE5" s="353">
        <v>118.798</v>
      </c>
      <c r="BF5" s="59">
        <v>110.578</v>
      </c>
      <c r="BG5" s="59">
        <v>150.638</v>
      </c>
      <c r="BH5" s="59">
        <v>138.113</v>
      </c>
      <c r="BI5" s="59">
        <v>139.999</v>
      </c>
      <c r="BJ5" s="13">
        <v>518.127</v>
      </c>
      <c r="BK5" s="9">
        <v>526.038</v>
      </c>
      <c r="BL5" s="59">
        <v>177.26916641911004</v>
      </c>
      <c r="BM5" s="59">
        <v>155.269</v>
      </c>
      <c r="BN5" s="59">
        <v>162.3</v>
      </c>
      <c r="BO5" s="59">
        <v>126.994</v>
      </c>
      <c r="BP5" s="59">
        <v>129.5</v>
      </c>
      <c r="BQ5" s="59">
        <v>133.93571347736278</v>
      </c>
      <c r="BR5" s="13">
        <v>603.0219999999999</v>
      </c>
      <c r="BS5" s="59">
        <v>157.395</v>
      </c>
      <c r="BT5" s="59">
        <v>75.5</v>
      </c>
      <c r="BU5" s="59">
        <v>173.667</v>
      </c>
      <c r="BV5" s="59">
        <v>132.2</v>
      </c>
      <c r="BW5" s="13">
        <v>538.9</v>
      </c>
    </row>
    <row r="6" spans="1:75" ht="12.75">
      <c r="A6" s="10" t="s">
        <v>9</v>
      </c>
      <c r="B6" s="60">
        <v>3.049</v>
      </c>
      <c r="C6" s="60">
        <v>-13.835</v>
      </c>
      <c r="D6" s="60">
        <v>-7.169</v>
      </c>
      <c r="E6" s="60">
        <v>14.778</v>
      </c>
      <c r="F6" s="14">
        <v>-3.177</v>
      </c>
      <c r="G6" s="60">
        <v>12.186</v>
      </c>
      <c r="H6" s="60">
        <v>28.975</v>
      </c>
      <c r="I6" s="60">
        <v>16.821</v>
      </c>
      <c r="J6" s="60">
        <v>-0.813</v>
      </c>
      <c r="K6" s="14">
        <v>57.169</v>
      </c>
      <c r="L6" s="60">
        <v>28.147</v>
      </c>
      <c r="M6" s="60">
        <v>0.292</v>
      </c>
      <c r="N6" s="60">
        <v>28.629</v>
      </c>
      <c r="O6" s="60">
        <v>26.003</v>
      </c>
      <c r="P6" s="14">
        <v>83.071</v>
      </c>
      <c r="Q6" s="60">
        <v>61.821</v>
      </c>
      <c r="R6" s="60">
        <v>47.684</v>
      </c>
      <c r="S6" s="60">
        <v>81.643</v>
      </c>
      <c r="T6" s="60">
        <v>57.623</v>
      </c>
      <c r="U6" s="14">
        <v>248.771</v>
      </c>
      <c r="V6" s="60">
        <v>92.42</v>
      </c>
      <c r="W6" s="60">
        <v>77.425</v>
      </c>
      <c r="X6" s="60">
        <v>69.861</v>
      </c>
      <c r="Y6" s="60">
        <v>64.73</v>
      </c>
      <c r="Z6" s="14">
        <v>304.436</v>
      </c>
      <c r="AA6" s="60">
        <v>155.167</v>
      </c>
      <c r="AB6" s="60">
        <v>102.326</v>
      </c>
      <c r="AC6" s="60">
        <v>94.8</v>
      </c>
      <c r="AD6" s="60">
        <f t="shared" si="0"/>
        <v>42.507000000000005</v>
      </c>
      <c r="AE6" s="14">
        <v>394.8</v>
      </c>
      <c r="AF6" s="60">
        <v>75.1</v>
      </c>
      <c r="AG6" s="60">
        <v>91.5</v>
      </c>
      <c r="AH6" s="60">
        <v>96</v>
      </c>
      <c r="AI6" s="60">
        <v>92.9</v>
      </c>
      <c r="AJ6" s="14">
        <v>355.5</v>
      </c>
      <c r="AK6" s="60">
        <v>67.3</v>
      </c>
      <c r="AL6" s="60">
        <v>89.1</v>
      </c>
      <c r="AM6" s="60">
        <v>36.6</v>
      </c>
      <c r="AN6" s="60">
        <v>6.4</v>
      </c>
      <c r="AO6" s="14">
        <v>199.4</v>
      </c>
      <c r="AP6" s="60">
        <v>67.4</v>
      </c>
      <c r="AQ6" s="60">
        <v>78.8</v>
      </c>
      <c r="AR6" s="60">
        <v>41</v>
      </c>
      <c r="AS6" s="283">
        <v>178.94299999999998</v>
      </c>
      <c r="AT6" s="60">
        <v>56</v>
      </c>
      <c r="AU6" s="283">
        <v>53.436</v>
      </c>
      <c r="AV6" s="14">
        <v>243.2</v>
      </c>
      <c r="AW6" s="278">
        <v>232.379</v>
      </c>
      <c r="AX6" s="60">
        <v>59.5</v>
      </c>
      <c r="AY6" s="60">
        <v>59.53</v>
      </c>
      <c r="AZ6" s="60">
        <v>96.1</v>
      </c>
      <c r="BA6" s="283">
        <v>83.5</v>
      </c>
      <c r="BB6" s="283">
        <v>177.731</v>
      </c>
      <c r="BC6" s="60">
        <v>62.865</v>
      </c>
      <c r="BD6" s="356">
        <v>240.596</v>
      </c>
      <c r="BE6" s="344">
        <v>48.112</v>
      </c>
      <c r="BF6" s="60">
        <v>46.2</v>
      </c>
      <c r="BG6" s="60">
        <v>83.458</v>
      </c>
      <c r="BH6" s="60">
        <v>61.327</v>
      </c>
      <c r="BI6" s="60">
        <v>62.845</v>
      </c>
      <c r="BJ6" s="14">
        <v>239.058</v>
      </c>
      <c r="BK6" s="11">
        <v>245.478</v>
      </c>
      <c r="BL6" s="60">
        <v>109.35516641911003</v>
      </c>
      <c r="BM6" s="60">
        <v>78.4</v>
      </c>
      <c r="BN6" s="60">
        <v>79.6</v>
      </c>
      <c r="BO6" s="60">
        <v>50.767</v>
      </c>
      <c r="BP6" s="60">
        <v>52.5</v>
      </c>
      <c r="BQ6" s="60">
        <v>11.690986153018894</v>
      </c>
      <c r="BR6" s="14">
        <v>253.182</v>
      </c>
      <c r="BS6" s="60">
        <v>83.343</v>
      </c>
      <c r="BT6" s="60">
        <v>1.1</v>
      </c>
      <c r="BU6" s="60">
        <v>103.042</v>
      </c>
      <c r="BV6" s="60">
        <v>33.002</v>
      </c>
      <c r="BW6" s="14">
        <v>220.5</v>
      </c>
    </row>
    <row r="7" spans="1:75" ht="12.75">
      <c r="A7" s="8" t="s">
        <v>10</v>
      </c>
      <c r="B7" s="59">
        <v>15.099</v>
      </c>
      <c r="C7" s="59">
        <v>-16.433</v>
      </c>
      <c r="D7" s="59">
        <v>7.123</v>
      </c>
      <c r="E7" s="59">
        <v>-1.047</v>
      </c>
      <c r="F7" s="13">
        <v>4.742</v>
      </c>
      <c r="G7" s="59">
        <v>1.642</v>
      </c>
      <c r="H7" s="59">
        <v>-1.791</v>
      </c>
      <c r="I7" s="59">
        <v>3.62</v>
      </c>
      <c r="J7" s="59">
        <v>-5.359</v>
      </c>
      <c r="K7" s="13">
        <v>-1.888</v>
      </c>
      <c r="L7" s="59">
        <v>9.042</v>
      </c>
      <c r="M7" s="59">
        <v>9.649</v>
      </c>
      <c r="N7" s="59">
        <v>-5.63</v>
      </c>
      <c r="O7" s="59">
        <v>3.014</v>
      </c>
      <c r="P7" s="13">
        <v>16.075</v>
      </c>
      <c r="Q7" s="59">
        <v>-4.187</v>
      </c>
      <c r="R7" s="59">
        <v>10.868</v>
      </c>
      <c r="S7" s="59">
        <v>-3.889</v>
      </c>
      <c r="T7" s="59">
        <v>-7.947</v>
      </c>
      <c r="U7" s="13">
        <v>-5.155</v>
      </c>
      <c r="V7" s="59">
        <v>8.963</v>
      </c>
      <c r="W7" s="59">
        <v>5.845</v>
      </c>
      <c r="X7" s="59">
        <v>7.994</v>
      </c>
      <c r="Y7" s="59">
        <v>9.356</v>
      </c>
      <c r="Z7" s="13">
        <v>32.158</v>
      </c>
      <c r="AA7" s="59">
        <v>26.514</v>
      </c>
      <c r="AB7" s="59">
        <v>13.209</v>
      </c>
      <c r="AC7" s="59">
        <v>-12.9</v>
      </c>
      <c r="AD7" s="59">
        <f t="shared" si="0"/>
        <v>10.776999999999997</v>
      </c>
      <c r="AE7" s="13">
        <v>37.6</v>
      </c>
      <c r="AF7" s="59">
        <v>-1.6</v>
      </c>
      <c r="AG7" s="59">
        <v>34.8</v>
      </c>
      <c r="AH7" s="59">
        <v>-4.9</v>
      </c>
      <c r="AI7" s="59">
        <v>-11.7</v>
      </c>
      <c r="AJ7" s="13">
        <v>16.6</v>
      </c>
      <c r="AK7" s="59">
        <v>-1.3</v>
      </c>
      <c r="AL7" s="59">
        <v>-37.5</v>
      </c>
      <c r="AM7" s="59">
        <v>41.7</v>
      </c>
      <c r="AN7" s="59">
        <v>13.1</v>
      </c>
      <c r="AO7" s="13">
        <v>16</v>
      </c>
      <c r="AP7" s="59">
        <v>147.1</v>
      </c>
      <c r="AQ7" s="59">
        <v>-103.6</v>
      </c>
      <c r="AR7" s="59">
        <v>-19.9</v>
      </c>
      <c r="AS7" s="282">
        <v>24.366000000000007</v>
      </c>
      <c r="AT7" s="59">
        <v>35.3</v>
      </c>
      <c r="AU7" s="282">
        <v>35.977</v>
      </c>
      <c r="AV7" s="13">
        <v>59</v>
      </c>
      <c r="AW7" s="277">
        <v>60.343</v>
      </c>
      <c r="AX7" s="59">
        <v>23.5</v>
      </c>
      <c r="AY7" s="59">
        <v>77.237</v>
      </c>
      <c r="AZ7" s="59">
        <v>-41.3</v>
      </c>
      <c r="BA7" s="282">
        <v>-41.1</v>
      </c>
      <c r="BB7" s="282">
        <v>59.895</v>
      </c>
      <c r="BC7" s="59">
        <v>23.491</v>
      </c>
      <c r="BD7" s="355">
        <v>83.386</v>
      </c>
      <c r="BE7" s="353">
        <v>23.765</v>
      </c>
      <c r="BF7" s="59">
        <v>77.5</v>
      </c>
      <c r="BG7" s="59">
        <v>-41.41</v>
      </c>
      <c r="BH7" s="59">
        <v>19.162</v>
      </c>
      <c r="BI7" s="59">
        <v>20.68</v>
      </c>
      <c r="BJ7" s="13">
        <v>79.057</v>
      </c>
      <c r="BK7" s="9">
        <v>85.477</v>
      </c>
      <c r="BL7" s="59">
        <v>-28.419</v>
      </c>
      <c r="BM7" s="59">
        <v>10.3</v>
      </c>
      <c r="BN7" s="59">
        <v>11.4</v>
      </c>
      <c r="BO7" s="59">
        <v>18.322</v>
      </c>
      <c r="BP7" s="59">
        <v>20.1</v>
      </c>
      <c r="BQ7" s="59">
        <v>51.765</v>
      </c>
      <c r="BR7" s="13">
        <v>54.852</v>
      </c>
      <c r="BS7" s="59">
        <v>4.695</v>
      </c>
      <c r="BT7" s="59">
        <v>18.3</v>
      </c>
      <c r="BU7" s="59">
        <v>4.86</v>
      </c>
      <c r="BV7" s="59">
        <v>18.8</v>
      </c>
      <c r="BW7" s="13">
        <v>46.7</v>
      </c>
    </row>
    <row r="8" spans="1:57" s="223" customFormat="1" ht="12.75">
      <c r="A8" s="325" t="s">
        <v>455</v>
      </c>
      <c r="AS8" s="425"/>
      <c r="AU8" s="425"/>
      <c r="AW8" s="425"/>
      <c r="BA8" s="425"/>
      <c r="BB8" s="425"/>
      <c r="BE8" s="347"/>
    </row>
    <row r="9" spans="1:57" s="223" customFormat="1" ht="12.75">
      <c r="A9" s="426" t="s">
        <v>409</v>
      </c>
      <c r="AR9" s="223">
        <v>-3.4</v>
      </c>
      <c r="AS9" s="425"/>
      <c r="AT9" s="223">
        <v>2</v>
      </c>
      <c r="AU9" s="425"/>
      <c r="AV9" s="223">
        <v>-1.4</v>
      </c>
      <c r="AW9" s="425"/>
      <c r="AX9" s="223">
        <v>-5.1</v>
      </c>
      <c r="AY9" s="223">
        <v>-5.593997649999999</v>
      </c>
      <c r="AZ9" s="223">
        <v>-5.2</v>
      </c>
      <c r="BA9" s="425"/>
      <c r="BB9" s="425"/>
      <c r="BE9" s="347"/>
    </row>
    <row r="10" spans="1:57" s="223" customFormat="1" ht="12.75">
      <c r="A10" s="325" t="s">
        <v>456</v>
      </c>
      <c r="AS10" s="425"/>
      <c r="AU10" s="425"/>
      <c r="AW10" s="425"/>
      <c r="BA10" s="425"/>
      <c r="BB10" s="425"/>
      <c r="BE10" s="347"/>
    </row>
    <row r="11" spans="1:75" ht="12.75">
      <c r="A11" s="10" t="s">
        <v>409</v>
      </c>
      <c r="B11" s="60">
        <v>-12.122</v>
      </c>
      <c r="C11" s="60">
        <v>7.438</v>
      </c>
      <c r="D11" s="60">
        <v>-9.603</v>
      </c>
      <c r="E11" s="60">
        <v>15.528</v>
      </c>
      <c r="F11" s="14">
        <v>1.241</v>
      </c>
      <c r="G11" s="60">
        <v>10.199</v>
      </c>
      <c r="H11" s="60">
        <v>29.404</v>
      </c>
      <c r="I11" s="60">
        <v>15.608</v>
      </c>
      <c r="J11" s="60">
        <v>10.051</v>
      </c>
      <c r="K11" s="14">
        <v>65.262</v>
      </c>
      <c r="L11" s="60">
        <v>22.679</v>
      </c>
      <c r="M11" s="60">
        <v>-10.919</v>
      </c>
      <c r="N11" s="60">
        <v>30.778</v>
      </c>
      <c r="O11" s="60">
        <v>57.443</v>
      </c>
      <c r="P11" s="14">
        <v>99.981</v>
      </c>
      <c r="Q11" s="60">
        <v>51.747</v>
      </c>
      <c r="R11" s="60">
        <v>29.218</v>
      </c>
      <c r="S11" s="60">
        <v>74.062</v>
      </c>
      <c r="T11" s="60">
        <v>53.543</v>
      </c>
      <c r="U11" s="14">
        <v>208.57</v>
      </c>
      <c r="V11" s="60">
        <v>71.887</v>
      </c>
      <c r="W11" s="60">
        <v>64.25</v>
      </c>
      <c r="X11" s="60">
        <v>56.44</v>
      </c>
      <c r="Y11" s="60">
        <v>52.342</v>
      </c>
      <c r="Z11" s="14">
        <v>244.919</v>
      </c>
      <c r="AA11" s="60">
        <v>122.3</v>
      </c>
      <c r="AB11" s="60">
        <v>89.6</v>
      </c>
      <c r="AC11" s="60">
        <v>95</v>
      </c>
      <c r="AD11" s="60">
        <f t="shared" si="0"/>
        <v>22.60000000000001</v>
      </c>
      <c r="AE11" s="14">
        <v>329.5</v>
      </c>
      <c r="AF11" s="60">
        <v>59.5</v>
      </c>
      <c r="AG11" s="60">
        <v>26.9</v>
      </c>
      <c r="AH11" s="60">
        <v>73.4</v>
      </c>
      <c r="AI11" s="60">
        <v>98</v>
      </c>
      <c r="AJ11" s="14">
        <v>257.8</v>
      </c>
      <c r="AK11" s="60">
        <v>65</v>
      </c>
      <c r="AL11" s="60">
        <v>114.7</v>
      </c>
      <c r="AM11" s="60">
        <v>-4.9</v>
      </c>
      <c r="AN11" s="60">
        <v>-33.3</v>
      </c>
      <c r="AO11" s="14">
        <v>141.5</v>
      </c>
      <c r="AP11" s="60">
        <v>-114.8</v>
      </c>
      <c r="AQ11" s="60">
        <v>178.5</v>
      </c>
      <c r="AR11" s="60">
        <v>12.9</v>
      </c>
      <c r="AS11" s="283">
        <v>76.59700000000001</v>
      </c>
      <c r="AT11" s="60">
        <v>27.3</v>
      </c>
      <c r="AU11" s="283">
        <v>18.461</v>
      </c>
      <c r="AV11" s="14">
        <v>103.9</v>
      </c>
      <c r="AW11" s="278">
        <v>95.058</v>
      </c>
      <c r="AX11" s="60">
        <v>19</v>
      </c>
      <c r="AY11" s="60">
        <v>-43.226</v>
      </c>
      <c r="AZ11" s="60">
        <v>92.1</v>
      </c>
      <c r="BA11" s="283">
        <v>92.1</v>
      </c>
      <c r="BB11" s="283">
        <v>67.856</v>
      </c>
      <c r="BC11" s="60">
        <v>32.967</v>
      </c>
      <c r="BD11" s="356">
        <v>100.823</v>
      </c>
      <c r="BE11" s="344">
        <v>19.011</v>
      </c>
      <c r="BF11" s="60">
        <v>-43.2</v>
      </c>
      <c r="BG11" s="60">
        <v>92.071</v>
      </c>
      <c r="BH11" s="60">
        <v>36.102</v>
      </c>
      <c r="BI11" s="60">
        <v>36.102</v>
      </c>
      <c r="BJ11" s="14">
        <v>103.958</v>
      </c>
      <c r="BK11" s="11">
        <v>103.958</v>
      </c>
      <c r="BL11" s="60">
        <v>92.66316641911003</v>
      </c>
      <c r="BM11" s="60">
        <v>54</v>
      </c>
      <c r="BN11" s="60">
        <v>54</v>
      </c>
      <c r="BO11" s="60">
        <v>36.407956240000004</v>
      </c>
      <c r="BP11" s="60">
        <v>36.4</v>
      </c>
      <c r="BQ11" s="60">
        <v>-29.132013846981106</v>
      </c>
      <c r="BR11" s="14">
        <v>153.907</v>
      </c>
      <c r="BS11" s="60">
        <v>73.69</v>
      </c>
      <c r="BT11" s="60">
        <v>0.7</v>
      </c>
      <c r="BU11" s="60">
        <v>67.546</v>
      </c>
      <c r="BV11" s="60">
        <v>7.7</v>
      </c>
      <c r="BW11" s="14">
        <v>149.7</v>
      </c>
    </row>
    <row r="12" spans="1:75" ht="12.75">
      <c r="A12" s="10"/>
      <c r="B12" s="60"/>
      <c r="C12" s="60"/>
      <c r="D12" s="60"/>
      <c r="E12" s="60"/>
      <c r="F12" s="14"/>
      <c r="G12" s="60"/>
      <c r="H12" s="60"/>
      <c r="I12" s="60"/>
      <c r="J12" s="60"/>
      <c r="K12" s="14"/>
      <c r="L12" s="60"/>
      <c r="M12" s="60"/>
      <c r="N12" s="60"/>
      <c r="O12" s="60"/>
      <c r="P12" s="14"/>
      <c r="Q12" s="60"/>
      <c r="R12" s="60"/>
      <c r="S12" s="60"/>
      <c r="T12" s="60"/>
      <c r="U12" s="14"/>
      <c r="V12" s="60"/>
      <c r="W12" s="60"/>
      <c r="X12" s="60"/>
      <c r="Y12" s="60"/>
      <c r="Z12" s="14"/>
      <c r="AA12" s="60"/>
      <c r="AB12" s="60"/>
      <c r="AC12" s="60"/>
      <c r="AD12" s="60"/>
      <c r="AE12" s="14"/>
      <c r="AF12" s="60"/>
      <c r="AG12" s="60"/>
      <c r="AH12" s="60"/>
      <c r="AI12" s="60"/>
      <c r="AJ12" s="14"/>
      <c r="AK12" s="60"/>
      <c r="AL12" s="60"/>
      <c r="AM12" s="60"/>
      <c r="AN12" s="60"/>
      <c r="AO12" s="14"/>
      <c r="AP12" s="60"/>
      <c r="AQ12" s="60"/>
      <c r="AR12" s="60"/>
      <c r="AS12" s="283"/>
      <c r="AT12" s="60"/>
      <c r="AU12" s="283"/>
      <c r="AV12" s="14"/>
      <c r="AW12" s="278"/>
      <c r="AX12" s="60"/>
      <c r="AY12" s="60"/>
      <c r="AZ12" s="60"/>
      <c r="BA12" s="283"/>
      <c r="BB12" s="283"/>
      <c r="BC12" s="60"/>
      <c r="BD12" s="356"/>
      <c r="BE12" s="344"/>
      <c r="BF12" s="60"/>
      <c r="BG12" s="60"/>
      <c r="BH12" s="60"/>
      <c r="BI12" s="60"/>
      <c r="BJ12" s="14"/>
      <c r="BK12" s="11"/>
      <c r="BL12" s="60"/>
      <c r="BM12" s="60"/>
      <c r="BN12" s="60"/>
      <c r="BO12" s="60"/>
      <c r="BP12" s="60"/>
      <c r="BQ12" s="60"/>
      <c r="BR12" s="14"/>
      <c r="BS12" s="60"/>
      <c r="BT12" s="60"/>
      <c r="BU12" s="60"/>
      <c r="BV12" s="60"/>
      <c r="BW12" s="14"/>
    </row>
    <row r="13" spans="1:75" ht="12.75">
      <c r="A13" s="8" t="s">
        <v>11</v>
      </c>
      <c r="B13" s="59">
        <v>36.411</v>
      </c>
      <c r="C13" s="59">
        <v>0.902</v>
      </c>
      <c r="D13" s="59">
        <v>-11.278</v>
      </c>
      <c r="E13" s="59">
        <v>45.377</v>
      </c>
      <c r="F13" s="13">
        <v>71.412</v>
      </c>
      <c r="G13" s="59">
        <v>55.876</v>
      </c>
      <c r="H13" s="59">
        <v>40.021</v>
      </c>
      <c r="I13" s="59">
        <v>-21.139</v>
      </c>
      <c r="J13" s="59">
        <v>93.087</v>
      </c>
      <c r="K13" s="13">
        <v>167.845</v>
      </c>
      <c r="L13" s="59">
        <v>55.191</v>
      </c>
      <c r="M13" s="59">
        <v>37.078</v>
      </c>
      <c r="N13" s="59">
        <v>-19.193</v>
      </c>
      <c r="O13" s="59">
        <v>130.082</v>
      </c>
      <c r="P13" s="13">
        <v>203.158</v>
      </c>
      <c r="Q13" s="59">
        <v>95.043</v>
      </c>
      <c r="R13" s="59">
        <v>76.155</v>
      </c>
      <c r="S13" s="59">
        <v>23.587</v>
      </c>
      <c r="T13" s="59">
        <v>129.596</v>
      </c>
      <c r="U13" s="13">
        <v>324.381</v>
      </c>
      <c r="V13" s="59">
        <v>97.071</v>
      </c>
      <c r="W13" s="59">
        <v>83.049</v>
      </c>
      <c r="X13" s="59">
        <v>11.292</v>
      </c>
      <c r="Y13" s="59">
        <v>90.747</v>
      </c>
      <c r="Z13" s="13">
        <v>282.159</v>
      </c>
      <c r="AA13" s="59">
        <v>91.365</v>
      </c>
      <c r="AB13" s="59">
        <v>162.199</v>
      </c>
      <c r="AC13" s="59">
        <v>150.8</v>
      </c>
      <c r="AD13" s="59">
        <f t="shared" si="0"/>
        <v>125.13599999999998</v>
      </c>
      <c r="AE13" s="13">
        <v>529.5</v>
      </c>
      <c r="AF13" s="59">
        <v>48.2</v>
      </c>
      <c r="AG13" s="59">
        <v>102.7</v>
      </c>
      <c r="AH13" s="59">
        <v>108.9</v>
      </c>
      <c r="AI13" s="59">
        <v>55.7</v>
      </c>
      <c r="AJ13" s="13">
        <v>315.5</v>
      </c>
      <c r="AK13" s="59">
        <v>-41.7</v>
      </c>
      <c r="AL13" s="59">
        <v>98.2</v>
      </c>
      <c r="AM13" s="59">
        <v>119</v>
      </c>
      <c r="AN13" s="59">
        <v>171.5</v>
      </c>
      <c r="AO13" s="13">
        <v>347.1</v>
      </c>
      <c r="AP13" s="59">
        <v>25.3</v>
      </c>
      <c r="AQ13" s="59">
        <v>190.6</v>
      </c>
      <c r="AR13" s="59">
        <v>57</v>
      </c>
      <c r="AS13" s="282">
        <v>266.6</v>
      </c>
      <c r="AT13" s="59">
        <v>139.3</v>
      </c>
      <c r="AU13" s="282">
        <v>131.3</v>
      </c>
      <c r="AV13" s="13">
        <v>412.2</v>
      </c>
      <c r="AW13" s="277">
        <v>397.9</v>
      </c>
      <c r="AX13" s="59">
        <v>-99.2</v>
      </c>
      <c r="AY13" s="59">
        <v>276.1</v>
      </c>
      <c r="AZ13" s="59">
        <v>21.4</v>
      </c>
      <c r="BA13" s="282">
        <v>21.4</v>
      </c>
      <c r="BB13" s="282">
        <v>205.8</v>
      </c>
      <c r="BC13" s="59">
        <v>168.2</v>
      </c>
      <c r="BD13" s="355">
        <v>374</v>
      </c>
      <c r="BE13" s="353">
        <v>-99.2</v>
      </c>
      <c r="BF13" s="59">
        <v>276.1</v>
      </c>
      <c r="BG13" s="59">
        <v>21.4</v>
      </c>
      <c r="BH13" s="59">
        <v>167.8</v>
      </c>
      <c r="BI13" s="59">
        <v>178.5</v>
      </c>
      <c r="BJ13" s="13">
        <v>373.7</v>
      </c>
      <c r="BK13" s="9">
        <v>378.9</v>
      </c>
      <c r="BL13" s="59">
        <v>-16.8</v>
      </c>
      <c r="BM13" s="59">
        <v>132.2</v>
      </c>
      <c r="BN13" s="59">
        <v>133.4</v>
      </c>
      <c r="BO13" s="59">
        <v>153.6</v>
      </c>
      <c r="BP13" s="59">
        <v>154.8</v>
      </c>
      <c r="BQ13" s="59">
        <v>101.3</v>
      </c>
      <c r="BR13" s="13">
        <v>373</v>
      </c>
      <c r="BS13" s="59">
        <v>-11.4</v>
      </c>
      <c r="BT13" s="59">
        <v>162.1</v>
      </c>
      <c r="BU13" s="59">
        <v>205.7</v>
      </c>
      <c r="BV13" s="59">
        <v>98.1</v>
      </c>
      <c r="BW13" s="13">
        <v>454.6</v>
      </c>
    </row>
    <row r="14" ht="12.75">
      <c r="A14" s="437" t="s">
        <v>410</v>
      </c>
    </row>
    <row r="15" ht="12.75">
      <c r="A15" s="3" t="s">
        <v>478</v>
      </c>
    </row>
    <row r="16" ht="12.75">
      <c r="A16" s="3" t="s">
        <v>523</v>
      </c>
    </row>
    <row r="17" ht="12.75">
      <c r="A17" s="3" t="s">
        <v>592</v>
      </c>
    </row>
    <row r="18" ht="12.75">
      <c r="A18" s="260"/>
    </row>
    <row r="19" spans="1:71" ht="25.5">
      <c r="A19" s="175" t="s">
        <v>365</v>
      </c>
      <c r="B19" s="176" t="s">
        <v>2</v>
      </c>
      <c r="C19" s="176" t="s">
        <v>3</v>
      </c>
      <c r="D19" s="176" t="s">
        <v>4</v>
      </c>
      <c r="E19" s="176" t="s">
        <v>5</v>
      </c>
      <c r="F19" s="177" t="s">
        <v>6</v>
      </c>
      <c r="G19" s="176" t="s">
        <v>12</v>
      </c>
      <c r="H19" s="176" t="s">
        <v>13</v>
      </c>
      <c r="I19" s="176" t="s">
        <v>14</v>
      </c>
      <c r="J19" s="176" t="s">
        <v>15</v>
      </c>
      <c r="K19" s="177" t="s">
        <v>16</v>
      </c>
      <c r="L19" s="176" t="s">
        <v>17</v>
      </c>
      <c r="M19" s="176" t="s">
        <v>18</v>
      </c>
      <c r="N19" s="176" t="s">
        <v>19</v>
      </c>
      <c r="O19" s="176" t="s">
        <v>20</v>
      </c>
      <c r="P19" s="177" t="s">
        <v>21</v>
      </c>
      <c r="Q19" s="176" t="s">
        <v>22</v>
      </c>
      <c r="R19" s="176" t="s">
        <v>23</v>
      </c>
      <c r="S19" s="176" t="s">
        <v>24</v>
      </c>
      <c r="T19" s="176" t="s">
        <v>25</v>
      </c>
      <c r="U19" s="177" t="s">
        <v>26</v>
      </c>
      <c r="V19" s="176" t="s">
        <v>27</v>
      </c>
      <c r="W19" s="176" t="s">
        <v>28</v>
      </c>
      <c r="X19" s="176" t="s">
        <v>29</v>
      </c>
      <c r="Y19" s="176" t="s">
        <v>30</v>
      </c>
      <c r="Z19" s="177" t="s">
        <v>31</v>
      </c>
      <c r="AA19" s="176" t="s">
        <v>32</v>
      </c>
      <c r="AB19" s="176" t="s">
        <v>33</v>
      </c>
      <c r="AC19" s="176" t="s">
        <v>34</v>
      </c>
      <c r="AD19" s="176" t="s">
        <v>271</v>
      </c>
      <c r="AE19" s="177" t="s">
        <v>272</v>
      </c>
      <c r="AF19" s="176" t="s">
        <v>274</v>
      </c>
      <c r="AG19" s="176" t="s">
        <v>276</v>
      </c>
      <c r="AH19" s="176" t="s">
        <v>278</v>
      </c>
      <c r="AI19" s="176" t="s">
        <v>280</v>
      </c>
      <c r="AJ19" s="177" t="s">
        <v>281</v>
      </c>
      <c r="AK19" s="176" t="s">
        <v>289</v>
      </c>
      <c r="AL19" s="176" t="s">
        <v>290</v>
      </c>
      <c r="AM19" s="176" t="s">
        <v>291</v>
      </c>
      <c r="AN19" s="176" t="s">
        <v>292</v>
      </c>
      <c r="AO19" s="177" t="s">
        <v>293</v>
      </c>
      <c r="AP19" s="176" t="s">
        <v>329</v>
      </c>
      <c r="AQ19" s="176" t="s">
        <v>330</v>
      </c>
      <c r="AR19" s="176" t="s">
        <v>331</v>
      </c>
      <c r="AS19" s="284" t="s">
        <v>490</v>
      </c>
      <c r="AT19" s="176" t="s">
        <v>332</v>
      </c>
      <c r="AU19" s="284" t="s">
        <v>477</v>
      </c>
      <c r="AV19" s="177" t="s">
        <v>333</v>
      </c>
      <c r="AW19" s="279" t="s">
        <v>463</v>
      </c>
      <c r="AX19" s="176" t="s">
        <v>448</v>
      </c>
      <c r="AY19" s="176" t="s">
        <v>451</v>
      </c>
      <c r="AZ19" s="176" t="s">
        <v>453</v>
      </c>
      <c r="BA19" s="284" t="s">
        <v>461</v>
      </c>
      <c r="BB19" s="315" t="s">
        <v>491</v>
      </c>
      <c r="BC19" s="176" t="s">
        <v>454</v>
      </c>
      <c r="BD19" s="357" t="s">
        <v>457</v>
      </c>
      <c r="BE19" s="350"/>
      <c r="BF19" s="326"/>
      <c r="BG19" s="326"/>
      <c r="BH19" s="326"/>
      <c r="BI19" s="326"/>
      <c r="BJ19" s="326"/>
      <c r="BK19" s="326"/>
      <c r="BL19" s="326"/>
      <c r="BM19" s="326"/>
      <c r="BN19" s="326"/>
      <c r="BO19" s="326"/>
      <c r="BP19" s="326"/>
      <c r="BQ19" s="326"/>
      <c r="BR19" s="326"/>
      <c r="BS19" s="326"/>
    </row>
    <row r="20" spans="57:71" ht="12.75" customHeight="1">
      <c r="BE20" s="347"/>
      <c r="BF20" s="223"/>
      <c r="BG20" s="223"/>
      <c r="BH20" s="223"/>
      <c r="BI20" s="223"/>
      <c r="BJ20" s="223"/>
      <c r="BK20" s="223"/>
      <c r="BL20" s="427"/>
      <c r="BM20" s="427"/>
      <c r="BN20" s="427"/>
      <c r="BO20" s="427"/>
      <c r="BP20" s="427"/>
      <c r="BQ20" s="427"/>
      <c r="BR20" s="427"/>
      <c r="BS20" s="427"/>
    </row>
    <row r="21" spans="1:71" ht="12.75">
      <c r="A21" s="178" t="s">
        <v>7</v>
      </c>
      <c r="B21" s="59">
        <v>305.896</v>
      </c>
      <c r="C21" s="59">
        <v>261.656</v>
      </c>
      <c r="D21" s="59">
        <v>290.646</v>
      </c>
      <c r="E21" s="59">
        <v>316.571</v>
      </c>
      <c r="F21" s="13">
        <v>1174.769</v>
      </c>
      <c r="G21" s="59">
        <v>291.799</v>
      </c>
      <c r="H21" s="59">
        <v>286.52</v>
      </c>
      <c r="I21" s="59">
        <v>258.271</v>
      </c>
      <c r="J21" s="59">
        <v>323.067</v>
      </c>
      <c r="K21" s="13">
        <v>1159.657</v>
      </c>
      <c r="L21" s="59">
        <v>338.633</v>
      </c>
      <c r="M21" s="59">
        <v>354.146</v>
      </c>
      <c r="N21" s="59">
        <v>356.108</v>
      </c>
      <c r="O21" s="59">
        <v>455.151</v>
      </c>
      <c r="P21" s="13">
        <v>1504.038</v>
      </c>
      <c r="Q21" s="59">
        <v>472.757</v>
      </c>
      <c r="R21" s="59">
        <v>424.077</v>
      </c>
      <c r="S21" s="59">
        <v>452.351</v>
      </c>
      <c r="T21" s="59">
        <v>606.645</v>
      </c>
      <c r="U21" s="13">
        <v>1955.83</v>
      </c>
      <c r="V21" s="59">
        <v>571.229</v>
      </c>
      <c r="W21" s="59">
        <v>545.054</v>
      </c>
      <c r="X21" s="59">
        <v>585.759</v>
      </c>
      <c r="Y21" s="59">
        <v>753.122</v>
      </c>
      <c r="Z21" s="195">
        <v>2455.164</v>
      </c>
      <c r="AA21" s="59">
        <v>798.6</v>
      </c>
      <c r="AB21" s="59">
        <v>702.169</v>
      </c>
      <c r="AC21" s="59">
        <v>762.3</v>
      </c>
      <c r="AD21" s="59">
        <f>AE21-AC21-AB21-AA21</f>
        <v>628.0310000000003</v>
      </c>
      <c r="AE21" s="195">
        <v>2891.1</v>
      </c>
      <c r="AF21" s="59">
        <v>515.8</v>
      </c>
      <c r="AG21" s="59">
        <v>606.6</v>
      </c>
      <c r="AH21" s="59">
        <v>685.1</v>
      </c>
      <c r="AI21" s="59">
        <v>786.5</v>
      </c>
      <c r="AJ21" s="195">
        <v>2594</v>
      </c>
      <c r="AK21" s="59">
        <v>786.1</v>
      </c>
      <c r="AL21" s="59">
        <v>920.5</v>
      </c>
      <c r="AM21" s="59">
        <v>976.5</v>
      </c>
      <c r="AN21" s="59">
        <v>852</v>
      </c>
      <c r="AO21" s="195">
        <v>3535.1</v>
      </c>
      <c r="AP21" s="59">
        <v>632.6</v>
      </c>
      <c r="AQ21" s="59">
        <v>698.6</v>
      </c>
      <c r="AR21" s="214">
        <v>759.1</v>
      </c>
      <c r="AS21" s="282">
        <v>2090.212</v>
      </c>
      <c r="AT21" s="59">
        <v>795.6</v>
      </c>
      <c r="AU21" s="282">
        <v>789.552</v>
      </c>
      <c r="AV21" s="195">
        <v>2885.9</v>
      </c>
      <c r="AW21" s="280">
        <v>2879.764</v>
      </c>
      <c r="AX21" s="59">
        <v>701.878</v>
      </c>
      <c r="AY21" s="59">
        <v>870.443</v>
      </c>
      <c r="AZ21" s="59">
        <v>960.7</v>
      </c>
      <c r="BA21" s="282">
        <v>960.7</v>
      </c>
      <c r="BB21" s="282">
        <v>2532.9790000000003</v>
      </c>
      <c r="BC21" s="59">
        <v>933.178</v>
      </c>
      <c r="BD21" s="358">
        <v>3466.157</v>
      </c>
      <c r="BE21" s="347"/>
      <c r="BF21" s="223"/>
      <c r="BG21" s="223"/>
      <c r="BH21" s="223"/>
      <c r="BI21" s="223"/>
      <c r="BJ21" s="223"/>
      <c r="BK21" s="223"/>
      <c r="BL21" s="223"/>
      <c r="BM21" s="223"/>
      <c r="BN21" s="223"/>
      <c r="BO21" s="223"/>
      <c r="BP21" s="223"/>
      <c r="BQ21" s="223"/>
      <c r="BR21" s="223"/>
      <c r="BS21" s="223"/>
    </row>
    <row r="22" spans="1:71" ht="12.75">
      <c r="A22" s="178" t="s">
        <v>8</v>
      </c>
      <c r="B22" s="59">
        <v>20.634</v>
      </c>
      <c r="C22" s="59">
        <v>2.609</v>
      </c>
      <c r="D22" s="59">
        <v>11.073</v>
      </c>
      <c r="E22" s="59">
        <v>37.833</v>
      </c>
      <c r="F22" s="13">
        <v>72.149</v>
      </c>
      <c r="G22" s="59">
        <v>28.512</v>
      </c>
      <c r="H22" s="59">
        <v>45.724</v>
      </c>
      <c r="I22" s="59">
        <v>33.346</v>
      </c>
      <c r="J22" s="59">
        <v>21.195</v>
      </c>
      <c r="K22" s="13">
        <v>128.777</v>
      </c>
      <c r="L22" s="59">
        <v>48.324</v>
      </c>
      <c r="M22" s="59">
        <v>23.209</v>
      </c>
      <c r="N22" s="59">
        <v>52.765</v>
      </c>
      <c r="O22" s="59">
        <v>54.223</v>
      </c>
      <c r="P22" s="13">
        <v>178.521</v>
      </c>
      <c r="Q22" s="59">
        <v>86.61</v>
      </c>
      <c r="R22" s="59">
        <v>72.667</v>
      </c>
      <c r="S22" s="59">
        <v>106.381</v>
      </c>
      <c r="T22" s="59">
        <v>91.672</v>
      </c>
      <c r="U22" s="13">
        <v>357.33</v>
      </c>
      <c r="V22" s="59">
        <v>119.307</v>
      </c>
      <c r="W22" s="59">
        <v>106.621</v>
      </c>
      <c r="X22" s="59">
        <v>96.362</v>
      </c>
      <c r="Y22" s="59">
        <v>105.646</v>
      </c>
      <c r="Z22" s="195">
        <v>427.936</v>
      </c>
      <c r="AA22" s="59">
        <v>187.02</v>
      </c>
      <c r="AB22" s="59">
        <v>134.9</v>
      </c>
      <c r="AC22" s="59">
        <v>127.1</v>
      </c>
      <c r="AD22" s="59">
        <f>AE22-AC22-AB22-AA22</f>
        <v>78.58000000000001</v>
      </c>
      <c r="AE22" s="195">
        <v>527.6</v>
      </c>
      <c r="AF22" s="59">
        <v>109.2</v>
      </c>
      <c r="AG22" s="59">
        <v>123.6</v>
      </c>
      <c r="AH22" s="59">
        <v>134.8</v>
      </c>
      <c r="AI22" s="59">
        <v>128.5</v>
      </c>
      <c r="AJ22" s="195">
        <v>496</v>
      </c>
      <c r="AK22" s="59">
        <v>101.6</v>
      </c>
      <c r="AL22" s="59">
        <v>123.2</v>
      </c>
      <c r="AM22" s="59">
        <v>75.2</v>
      </c>
      <c r="AN22" s="59">
        <v>51.3</v>
      </c>
      <c r="AO22" s="195">
        <v>351.3</v>
      </c>
      <c r="AP22" s="59">
        <v>107.6</v>
      </c>
      <c r="AQ22" s="59">
        <v>124</v>
      </c>
      <c r="AR22" s="59">
        <v>75.8</v>
      </c>
      <c r="AS22" s="282">
        <v>290.524</v>
      </c>
      <c r="AT22" s="59">
        <v>62.7</v>
      </c>
      <c r="AU22" s="282">
        <v>66.515</v>
      </c>
      <c r="AV22" s="195">
        <v>353.2</v>
      </c>
      <c r="AW22" s="280">
        <v>357.039</v>
      </c>
      <c r="AX22" s="59">
        <v>92.8</v>
      </c>
      <c r="AY22" s="59">
        <v>82.52799999999999</v>
      </c>
      <c r="AZ22" s="59">
        <v>106.2</v>
      </c>
      <c r="BA22" s="282">
        <v>106.2</v>
      </c>
      <c r="BB22" s="282">
        <v>281.509</v>
      </c>
      <c r="BC22" s="59">
        <v>91.417</v>
      </c>
      <c r="BD22" s="358">
        <v>372.926</v>
      </c>
      <c r="BE22" s="347"/>
      <c r="BF22" s="223"/>
      <c r="BG22" s="223"/>
      <c r="BH22" s="223"/>
      <c r="BI22" s="223"/>
      <c r="BJ22" s="223"/>
      <c r="BK22" s="223"/>
      <c r="BL22" s="223"/>
      <c r="BM22" s="223"/>
      <c r="BN22" s="223"/>
      <c r="BO22" s="223"/>
      <c r="BP22" s="223"/>
      <c r="BQ22" s="223"/>
      <c r="BR22" s="223"/>
      <c r="BS22" s="223"/>
    </row>
    <row r="23" spans="1:71" ht="12.75">
      <c r="A23" s="179" t="s">
        <v>9</v>
      </c>
      <c r="B23" s="60">
        <v>3.049</v>
      </c>
      <c r="C23" s="60">
        <v>-13.835</v>
      </c>
      <c r="D23" s="60">
        <v>-7.169</v>
      </c>
      <c r="E23" s="60">
        <v>14.778</v>
      </c>
      <c r="F23" s="14">
        <v>-3.177</v>
      </c>
      <c r="G23" s="60">
        <v>12.186</v>
      </c>
      <c r="H23" s="60">
        <v>28.975</v>
      </c>
      <c r="I23" s="60">
        <v>16.821</v>
      </c>
      <c r="J23" s="60">
        <v>-0.813</v>
      </c>
      <c r="K23" s="14">
        <v>57.169</v>
      </c>
      <c r="L23" s="60">
        <v>28.147</v>
      </c>
      <c r="M23" s="60">
        <v>0.292</v>
      </c>
      <c r="N23" s="60">
        <v>28.629</v>
      </c>
      <c r="O23" s="60">
        <v>26.003</v>
      </c>
      <c r="P23" s="14">
        <v>83.071</v>
      </c>
      <c r="Q23" s="60">
        <v>61.821</v>
      </c>
      <c r="R23" s="60">
        <v>47.684</v>
      </c>
      <c r="S23" s="60">
        <v>81.643</v>
      </c>
      <c r="T23" s="60">
        <v>57.623</v>
      </c>
      <c r="U23" s="14">
        <v>248.771</v>
      </c>
      <c r="V23" s="60">
        <v>92.42</v>
      </c>
      <c r="W23" s="60">
        <v>77.425</v>
      </c>
      <c r="X23" s="60">
        <v>69.861</v>
      </c>
      <c r="Y23" s="60">
        <v>64.73</v>
      </c>
      <c r="Z23" s="196">
        <v>304.436</v>
      </c>
      <c r="AA23" s="60">
        <v>155.167</v>
      </c>
      <c r="AB23" s="60">
        <v>102.326</v>
      </c>
      <c r="AC23" s="60">
        <v>94.8</v>
      </c>
      <c r="AD23" s="60">
        <f>AE23-AC23-AB23-AA23</f>
        <v>42.507000000000005</v>
      </c>
      <c r="AE23" s="196">
        <v>394.8</v>
      </c>
      <c r="AF23" s="60">
        <v>75.1</v>
      </c>
      <c r="AG23" s="60">
        <v>91.5</v>
      </c>
      <c r="AH23" s="60">
        <v>96</v>
      </c>
      <c r="AI23" s="60">
        <v>92.9</v>
      </c>
      <c r="AJ23" s="196">
        <v>355.5</v>
      </c>
      <c r="AK23" s="60">
        <v>67.3</v>
      </c>
      <c r="AL23" s="60">
        <v>89.1</v>
      </c>
      <c r="AM23" s="60">
        <v>36.6</v>
      </c>
      <c r="AN23" s="60">
        <v>6.4</v>
      </c>
      <c r="AO23" s="196">
        <v>199.4</v>
      </c>
      <c r="AP23" s="60">
        <v>67.4</v>
      </c>
      <c r="AQ23" s="60">
        <v>78.8</v>
      </c>
      <c r="AR23" s="60">
        <v>36.4</v>
      </c>
      <c r="AS23" s="283">
        <v>165.656</v>
      </c>
      <c r="AT23" s="60">
        <v>21.5</v>
      </c>
      <c r="AU23" s="283">
        <v>24.96</v>
      </c>
      <c r="AV23" s="196">
        <v>187.1</v>
      </c>
      <c r="AW23" s="281">
        <v>190.616</v>
      </c>
      <c r="AX23" s="60">
        <v>50.1</v>
      </c>
      <c r="AY23" s="60">
        <v>40.294</v>
      </c>
      <c r="AZ23" s="60">
        <v>65.3</v>
      </c>
      <c r="BA23" s="283">
        <v>65.3</v>
      </c>
      <c r="BB23" s="283">
        <v>155.674</v>
      </c>
      <c r="BC23" s="60">
        <v>40.499</v>
      </c>
      <c r="BD23" s="359">
        <v>196.173</v>
      </c>
      <c r="BE23" s="346"/>
      <c r="BF23" s="221"/>
      <c r="BG23" s="221"/>
      <c r="BH23" s="221"/>
      <c r="BI23" s="221"/>
      <c r="BJ23" s="221"/>
      <c r="BK23" s="221"/>
      <c r="BL23" s="221"/>
      <c r="BM23" s="221"/>
      <c r="BN23" s="221"/>
      <c r="BO23" s="221"/>
      <c r="BP23" s="221"/>
      <c r="BQ23" s="221"/>
      <c r="BR23" s="221"/>
      <c r="BS23" s="221"/>
    </row>
    <row r="24" spans="1:71" ht="12.75">
      <c r="A24" s="178" t="s">
        <v>10</v>
      </c>
      <c r="B24" s="59">
        <v>15.099</v>
      </c>
      <c r="C24" s="59">
        <v>-16.433</v>
      </c>
      <c r="D24" s="59">
        <v>7.123</v>
      </c>
      <c r="E24" s="59">
        <v>-1.047</v>
      </c>
      <c r="F24" s="13">
        <v>4.742</v>
      </c>
      <c r="G24" s="59">
        <v>1.642</v>
      </c>
      <c r="H24" s="59">
        <v>-1.791</v>
      </c>
      <c r="I24" s="59">
        <v>3.62</v>
      </c>
      <c r="J24" s="59">
        <v>-5.359</v>
      </c>
      <c r="K24" s="13">
        <v>-1.888</v>
      </c>
      <c r="L24" s="59">
        <v>9.042</v>
      </c>
      <c r="M24" s="59">
        <v>9.649</v>
      </c>
      <c r="N24" s="59">
        <v>-5.63</v>
      </c>
      <c r="O24" s="59">
        <v>3.014</v>
      </c>
      <c r="P24" s="13">
        <v>16.075</v>
      </c>
      <c r="Q24" s="59">
        <v>-4.187</v>
      </c>
      <c r="R24" s="59">
        <v>10.868</v>
      </c>
      <c r="S24" s="59">
        <v>-3.889</v>
      </c>
      <c r="T24" s="59">
        <v>-7.947</v>
      </c>
      <c r="U24" s="13">
        <v>-5.155</v>
      </c>
      <c r="V24" s="59">
        <v>8.963</v>
      </c>
      <c r="W24" s="59">
        <v>5.845</v>
      </c>
      <c r="X24" s="59">
        <v>7.994</v>
      </c>
      <c r="Y24" s="59">
        <v>9.356</v>
      </c>
      <c r="Z24" s="195">
        <v>32.158</v>
      </c>
      <c r="AA24" s="59">
        <v>26.514</v>
      </c>
      <c r="AB24" s="59">
        <v>13.209</v>
      </c>
      <c r="AC24" s="59">
        <v>-12.9</v>
      </c>
      <c r="AD24" s="59">
        <f>AE24-AC24-AB24-AA24</f>
        <v>10.776999999999997</v>
      </c>
      <c r="AE24" s="195">
        <v>37.6</v>
      </c>
      <c r="AF24" s="59">
        <v>-1.6</v>
      </c>
      <c r="AG24" s="59">
        <v>34.8</v>
      </c>
      <c r="AH24" s="59">
        <v>-4.9</v>
      </c>
      <c r="AI24" s="59">
        <v>-11.7</v>
      </c>
      <c r="AJ24" s="195">
        <v>16.6</v>
      </c>
      <c r="AK24" s="59">
        <v>-1.3</v>
      </c>
      <c r="AL24" s="59">
        <v>-37.5</v>
      </c>
      <c r="AM24" s="59">
        <v>41.7</v>
      </c>
      <c r="AN24" s="59">
        <v>13.1</v>
      </c>
      <c r="AO24" s="195">
        <v>16</v>
      </c>
      <c r="AP24" s="59">
        <v>147.1</v>
      </c>
      <c r="AQ24" s="59">
        <v>-103.6</v>
      </c>
      <c r="AR24" s="214">
        <v>-14.8</v>
      </c>
      <c r="AS24" s="282">
        <v>28.741000000000003</v>
      </c>
      <c r="AT24" s="59">
        <v>29.3</v>
      </c>
      <c r="AU24" s="282">
        <v>29.099</v>
      </c>
      <c r="AV24" s="195">
        <v>58.1</v>
      </c>
      <c r="AW24" s="280">
        <v>57.84</v>
      </c>
      <c r="AX24" s="59">
        <v>7.7</v>
      </c>
      <c r="AY24" s="59">
        <v>50.832</v>
      </c>
      <c r="AZ24" s="59">
        <v>-19.9</v>
      </c>
      <c r="BA24" s="282">
        <v>-19.9</v>
      </c>
      <c r="BB24" s="282">
        <v>38.562000000000005</v>
      </c>
      <c r="BC24" s="59">
        <v>14.498</v>
      </c>
      <c r="BD24" s="358">
        <v>53.06</v>
      </c>
      <c r="BE24" s="347"/>
      <c r="BF24" s="223"/>
      <c r="BG24" s="223"/>
      <c r="BH24" s="223"/>
      <c r="BI24" s="223"/>
      <c r="BJ24" s="223"/>
      <c r="BK24" s="223"/>
      <c r="BL24" s="223"/>
      <c r="BM24" s="223"/>
      <c r="BN24" s="223"/>
      <c r="BO24" s="223"/>
      <c r="BP24" s="223"/>
      <c r="BQ24" s="223"/>
      <c r="BR24" s="223"/>
      <c r="BS24" s="223"/>
    </row>
    <row r="25" spans="1:71" ht="12.75">
      <c r="A25" s="179" t="s">
        <v>409</v>
      </c>
      <c r="B25" s="60">
        <v>-12.122</v>
      </c>
      <c r="C25" s="60">
        <v>7.438</v>
      </c>
      <c r="D25" s="60">
        <v>-9.603</v>
      </c>
      <c r="E25" s="60">
        <v>15.528</v>
      </c>
      <c r="F25" s="14">
        <v>1.241</v>
      </c>
      <c r="G25" s="60">
        <v>10.199</v>
      </c>
      <c r="H25" s="60">
        <v>29.404</v>
      </c>
      <c r="I25" s="60">
        <v>15.608</v>
      </c>
      <c r="J25" s="60">
        <v>10.051</v>
      </c>
      <c r="K25" s="14">
        <v>65.262</v>
      </c>
      <c r="L25" s="60">
        <v>22.679</v>
      </c>
      <c r="M25" s="60">
        <v>-10.919</v>
      </c>
      <c r="N25" s="60">
        <v>30.778</v>
      </c>
      <c r="O25" s="60">
        <v>57.443</v>
      </c>
      <c r="P25" s="14">
        <v>99.981</v>
      </c>
      <c r="Q25" s="60">
        <v>51.747</v>
      </c>
      <c r="R25" s="60">
        <v>29.218</v>
      </c>
      <c r="S25" s="60">
        <v>74.062</v>
      </c>
      <c r="T25" s="60">
        <v>53.543</v>
      </c>
      <c r="U25" s="14">
        <v>208.57</v>
      </c>
      <c r="V25" s="60">
        <v>71.887</v>
      </c>
      <c r="W25" s="60">
        <v>64.25</v>
      </c>
      <c r="X25" s="60">
        <v>56.44</v>
      </c>
      <c r="Y25" s="60">
        <v>52.342</v>
      </c>
      <c r="Z25" s="196">
        <v>244.919</v>
      </c>
      <c r="AA25" s="60">
        <v>122.3</v>
      </c>
      <c r="AB25" s="60">
        <v>89.6</v>
      </c>
      <c r="AC25" s="60">
        <v>95</v>
      </c>
      <c r="AD25" s="60">
        <f>AE25-AC25-AB25-AA25</f>
        <v>22.60000000000001</v>
      </c>
      <c r="AE25" s="196">
        <v>329.5</v>
      </c>
      <c r="AF25" s="60">
        <v>59.5</v>
      </c>
      <c r="AG25" s="60">
        <v>26.9</v>
      </c>
      <c r="AH25" s="60">
        <v>73.4</v>
      </c>
      <c r="AI25" s="60">
        <v>98</v>
      </c>
      <c r="AJ25" s="196">
        <v>257.8</v>
      </c>
      <c r="AK25" s="60">
        <v>65</v>
      </c>
      <c r="AL25" s="60">
        <v>114.7</v>
      </c>
      <c r="AM25" s="60">
        <v>-4.9</v>
      </c>
      <c r="AN25" s="60">
        <v>-33.3</v>
      </c>
      <c r="AO25" s="196">
        <v>141.5</v>
      </c>
      <c r="AP25" s="60">
        <v>-114.8</v>
      </c>
      <c r="AQ25" s="60">
        <v>178.5</v>
      </c>
      <c r="AR25" s="60">
        <v>11</v>
      </c>
      <c r="AS25" s="283">
        <v>51.31</v>
      </c>
      <c r="AT25" s="60">
        <v>-0.3</v>
      </c>
      <c r="AU25" s="283">
        <v>4.447</v>
      </c>
      <c r="AV25" s="196">
        <v>51</v>
      </c>
      <c r="AW25" s="281">
        <v>55.757</v>
      </c>
      <c r="AX25" s="60">
        <v>27.9</v>
      </c>
      <c r="AY25" s="60">
        <v>-33.885</v>
      </c>
      <c r="AZ25" s="60">
        <v>78.7</v>
      </c>
      <c r="BA25" s="283">
        <v>78.7</v>
      </c>
      <c r="BB25" s="283">
        <v>72.719</v>
      </c>
      <c r="BC25" s="60">
        <v>26.513</v>
      </c>
      <c r="BD25" s="359">
        <v>99.232</v>
      </c>
      <c r="BE25" s="346"/>
      <c r="BF25" s="221"/>
      <c r="BG25" s="221"/>
      <c r="BH25" s="221"/>
      <c r="BI25" s="221"/>
      <c r="BJ25" s="221"/>
      <c r="BK25" s="221"/>
      <c r="BL25" s="221"/>
      <c r="BM25" s="221"/>
      <c r="BN25" s="221"/>
      <c r="BO25" s="221"/>
      <c r="BP25" s="221"/>
      <c r="BQ25" s="221"/>
      <c r="BR25" s="221"/>
      <c r="BS25" s="221"/>
    </row>
    <row r="26" ht="12.75"/>
    <row r="27" ht="12.75">
      <c r="A27" s="3" t="s">
        <v>478</v>
      </c>
    </row>
    <row r="28" ht="12.75">
      <c r="A28" s="3" t="s">
        <v>479</v>
      </c>
    </row>
    <row r="29" ht="12.75"/>
    <row r="30" ht="12.75"/>
    <row r="31" ht="12.75"/>
    <row r="32" ht="12.75"/>
  </sheetData>
  <sheetProtection/>
  <printOptions/>
  <pageMargins left="0.75" right="0.75" top="1" bottom="1" header="0.5" footer="0.5"/>
  <pageSetup fitToWidth="2" horizontalDpi="600" verticalDpi="600" orientation="landscape" pageOrder="overThenDown" paperSize="9" r:id="rId1"/>
</worksheet>
</file>

<file path=xl/worksheets/sheet20.xml><?xml version="1.0" encoding="utf-8"?>
<worksheet xmlns="http://schemas.openxmlformats.org/spreadsheetml/2006/main" xmlns:r="http://schemas.openxmlformats.org/officeDocument/2006/relationships">
  <sheetPr>
    <tabColor indexed="44"/>
    <pageSetUpPr fitToPage="1"/>
  </sheetPr>
  <dimension ref="A1:AW33"/>
  <sheetViews>
    <sheetView zoomScalePageLayoutView="0" workbookViewId="0" topLeftCell="A1">
      <pane xSplit="1" ySplit="1" topLeftCell="AO2" activePane="bottomRight" state="frozen"/>
      <selection pane="topLeft" activeCell="V51" sqref="V51"/>
      <selection pane="topRight" activeCell="V51" sqref="V51"/>
      <selection pane="bottomLeft" activeCell="V51" sqref="V51"/>
      <selection pane="bottomRight" activeCell="A1" sqref="A1"/>
    </sheetView>
  </sheetViews>
  <sheetFormatPr defaultColWidth="9.140625" defaultRowHeight="12.75" zeroHeight="1" outlineLevelCol="1"/>
  <cols>
    <col min="1" max="1" width="60.57421875" style="91" customWidth="1"/>
    <col min="2" max="17" width="11.28125" style="91" hidden="1" customWidth="1" outlineLevel="1"/>
    <col min="18" max="18" width="11.28125" style="91" customWidth="1" collapsed="1"/>
    <col min="19" max="41" width="11.28125" style="91" customWidth="1"/>
    <col min="42" max="42" width="11.140625" style="91" bestFit="1" customWidth="1"/>
    <col min="43" max="43" width="11.140625" style="91" customWidth="1"/>
    <col min="44" max="49" width="11.140625" style="91" bestFit="1" customWidth="1"/>
    <col min="50" max="16384" width="9.140625" style="91" customWidth="1"/>
  </cols>
  <sheetData>
    <row r="1" ht="12.75">
      <c r="A1" s="116" t="s">
        <v>216</v>
      </c>
    </row>
    <row r="2" ht="12.75">
      <c r="A2" s="116"/>
    </row>
    <row r="3" spans="1:49" s="85" customFormat="1" ht="12.75">
      <c r="A3" s="158"/>
      <c r="B3" s="159">
        <v>36981</v>
      </c>
      <c r="C3" s="159">
        <v>37072</v>
      </c>
      <c r="D3" s="159">
        <v>37164</v>
      </c>
      <c r="E3" s="159">
        <v>37256</v>
      </c>
      <c r="F3" s="159">
        <v>37346</v>
      </c>
      <c r="G3" s="159">
        <v>37437</v>
      </c>
      <c r="H3" s="159">
        <v>37529</v>
      </c>
      <c r="I3" s="159">
        <v>37621</v>
      </c>
      <c r="J3" s="159">
        <v>37711</v>
      </c>
      <c r="K3" s="159">
        <v>37802</v>
      </c>
      <c r="L3" s="159">
        <v>37894</v>
      </c>
      <c r="M3" s="159">
        <v>37986</v>
      </c>
      <c r="N3" s="159">
        <v>38077</v>
      </c>
      <c r="O3" s="159">
        <v>38168</v>
      </c>
      <c r="P3" s="159">
        <v>38260</v>
      </c>
      <c r="Q3" s="159">
        <v>38352</v>
      </c>
      <c r="R3" s="159">
        <v>38442</v>
      </c>
      <c r="S3" s="159">
        <v>38533</v>
      </c>
      <c r="T3" s="159">
        <v>38625</v>
      </c>
      <c r="U3" s="159">
        <v>38717</v>
      </c>
      <c r="V3" s="159">
        <v>38807</v>
      </c>
      <c r="W3" s="159">
        <v>38898</v>
      </c>
      <c r="X3" s="159">
        <v>38990</v>
      </c>
      <c r="Y3" s="159">
        <v>39082</v>
      </c>
      <c r="Z3" s="159">
        <v>39172</v>
      </c>
      <c r="AA3" s="159">
        <v>39263</v>
      </c>
      <c r="AB3" s="159">
        <v>39355</v>
      </c>
      <c r="AC3" s="159">
        <v>39447</v>
      </c>
      <c r="AD3" s="159">
        <v>39538</v>
      </c>
      <c r="AE3" s="159">
        <v>39629</v>
      </c>
      <c r="AF3" s="159">
        <v>39721</v>
      </c>
      <c r="AG3" s="159">
        <v>39813</v>
      </c>
      <c r="AH3" s="159">
        <v>39903</v>
      </c>
      <c r="AI3" s="159">
        <v>39994</v>
      </c>
      <c r="AJ3" s="159">
        <v>40086</v>
      </c>
      <c r="AK3" s="159">
        <v>40178</v>
      </c>
      <c r="AL3" s="159">
        <v>40268</v>
      </c>
      <c r="AM3" s="159">
        <v>40359</v>
      </c>
      <c r="AN3" s="159">
        <v>40451</v>
      </c>
      <c r="AO3" s="159">
        <v>40543</v>
      </c>
      <c r="AP3" s="159">
        <v>40633</v>
      </c>
      <c r="AQ3" s="159">
        <v>40724</v>
      </c>
      <c r="AR3" s="159">
        <v>40816</v>
      </c>
      <c r="AS3" s="159">
        <v>40908</v>
      </c>
      <c r="AT3" s="159">
        <v>40999</v>
      </c>
      <c r="AU3" s="159">
        <v>41090</v>
      </c>
      <c r="AV3" s="159">
        <v>41182</v>
      </c>
      <c r="AW3" s="159">
        <v>41274</v>
      </c>
    </row>
    <row r="4" spans="1:41" ht="12.75">
      <c r="A4" s="146"/>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row>
    <row r="5" spans="1:49" s="135" customFormat="1" ht="12.75">
      <c r="A5" s="153" t="s">
        <v>217</v>
      </c>
      <c r="B5" s="140">
        <v>44.2</v>
      </c>
      <c r="C5" s="140">
        <v>42.1</v>
      </c>
      <c r="D5" s="140">
        <v>44.8</v>
      </c>
      <c r="E5" s="161">
        <v>46.3</v>
      </c>
      <c r="F5" s="140">
        <v>47.1</v>
      </c>
      <c r="G5" s="140">
        <v>46.1</v>
      </c>
      <c r="H5" s="140">
        <v>44.1</v>
      </c>
      <c r="I5" s="161">
        <v>42.4</v>
      </c>
      <c r="J5" s="140">
        <v>41</v>
      </c>
      <c r="K5" s="140">
        <v>36.4</v>
      </c>
      <c r="L5" s="140">
        <v>37.7</v>
      </c>
      <c r="M5" s="161">
        <v>36.5</v>
      </c>
      <c r="N5" s="140">
        <v>50.7</v>
      </c>
      <c r="O5" s="140" t="e">
        <f>70.9-#REF!-O12</f>
        <v>#REF!</v>
      </c>
      <c r="P5" s="140" t="e">
        <f>73.3-#REF!-P12</f>
        <v>#REF!</v>
      </c>
      <c r="Q5" s="161">
        <v>56</v>
      </c>
      <c r="R5" s="140">
        <v>56.6</v>
      </c>
      <c r="S5" s="140">
        <v>56.6</v>
      </c>
      <c r="T5" s="140">
        <v>58.3</v>
      </c>
      <c r="U5" s="161">
        <v>58.2</v>
      </c>
      <c r="V5" s="140">
        <v>58.6</v>
      </c>
      <c r="W5" s="140">
        <v>57.5</v>
      </c>
      <c r="X5" s="140">
        <v>57.5</v>
      </c>
      <c r="Y5" s="161">
        <v>58.6</v>
      </c>
      <c r="Z5" s="140">
        <v>58.1</v>
      </c>
      <c r="AA5" s="140">
        <v>49.1</v>
      </c>
      <c r="AB5" s="140">
        <v>36.4</v>
      </c>
      <c r="AC5" s="161">
        <v>31.7</v>
      </c>
      <c r="AD5" s="140">
        <v>31.7</v>
      </c>
      <c r="AE5" s="140">
        <v>32.1</v>
      </c>
      <c r="AF5" s="140">
        <v>30</v>
      </c>
      <c r="AG5" s="161">
        <v>24.2</v>
      </c>
      <c r="AH5" s="140">
        <v>22.8</v>
      </c>
      <c r="AI5" s="140">
        <v>24.7</v>
      </c>
      <c r="AJ5" s="140">
        <v>25.8</v>
      </c>
      <c r="AK5" s="161">
        <v>25.8</v>
      </c>
      <c r="AL5" s="140">
        <v>26.4</v>
      </c>
      <c r="AM5" s="140">
        <v>26.4</v>
      </c>
      <c r="AN5" s="140">
        <v>26.6</v>
      </c>
      <c r="AO5" s="140">
        <v>26.1</v>
      </c>
      <c r="AP5" s="140">
        <v>26.7</v>
      </c>
      <c r="AQ5" s="140">
        <v>26.5</v>
      </c>
      <c r="AR5" s="140">
        <v>25</v>
      </c>
      <c r="AS5" s="140">
        <v>25.5</v>
      </c>
      <c r="AT5" s="140">
        <v>26.1</v>
      </c>
      <c r="AU5" s="140">
        <v>25.6</v>
      </c>
      <c r="AV5" s="140">
        <v>26.1</v>
      </c>
      <c r="AW5" s="140">
        <v>26.2</v>
      </c>
    </row>
    <row r="6" spans="1:49" s="135" customFormat="1" ht="12.75">
      <c r="A6" s="151" t="s">
        <v>566</v>
      </c>
      <c r="B6" s="140"/>
      <c r="C6" s="140"/>
      <c r="D6" s="140"/>
      <c r="E6" s="161"/>
      <c r="F6" s="140"/>
      <c r="G6" s="140"/>
      <c r="H6" s="140"/>
      <c r="I6" s="161"/>
      <c r="J6" s="140"/>
      <c r="K6" s="140"/>
      <c r="L6" s="140"/>
      <c r="M6" s="161"/>
      <c r="N6" s="140"/>
      <c r="O6" s="140"/>
      <c r="P6" s="140"/>
      <c r="Q6" s="161"/>
      <c r="R6" s="140"/>
      <c r="S6" s="140"/>
      <c r="T6" s="140"/>
      <c r="U6" s="161"/>
      <c r="V6" s="140"/>
      <c r="W6" s="140"/>
      <c r="X6" s="140"/>
      <c r="Y6" s="161"/>
      <c r="Z6" s="140"/>
      <c r="AA6" s="140"/>
      <c r="AB6" s="140"/>
      <c r="AC6" s="161"/>
      <c r="AD6" s="140"/>
      <c r="AE6" s="140"/>
      <c r="AF6" s="140"/>
      <c r="AG6" s="161"/>
      <c r="AH6" s="140">
        <v>0</v>
      </c>
      <c r="AI6" s="140">
        <v>0</v>
      </c>
      <c r="AJ6" s="140">
        <v>0</v>
      </c>
      <c r="AK6" s="161">
        <v>0</v>
      </c>
      <c r="AL6" s="140">
        <v>0</v>
      </c>
      <c r="AM6" s="140">
        <v>0</v>
      </c>
      <c r="AN6" s="140">
        <v>0</v>
      </c>
      <c r="AO6" s="140">
        <v>0</v>
      </c>
      <c r="AP6" s="140">
        <v>0</v>
      </c>
      <c r="AQ6" s="140">
        <v>0</v>
      </c>
      <c r="AR6" s="140">
        <v>23.8</v>
      </c>
      <c r="AS6" s="140">
        <v>24.6</v>
      </c>
      <c r="AT6" s="140">
        <v>24.6</v>
      </c>
      <c r="AU6" s="140">
        <v>24.6</v>
      </c>
      <c r="AV6" s="140">
        <v>24.6</v>
      </c>
      <c r="AW6" s="140">
        <v>24.6</v>
      </c>
    </row>
    <row r="7" spans="1:49" s="135" customFormat="1" ht="12.75">
      <c r="A7" s="153" t="s">
        <v>444</v>
      </c>
      <c r="B7" s="140"/>
      <c r="C7" s="140"/>
      <c r="D7" s="140"/>
      <c r="E7" s="161"/>
      <c r="F7" s="140"/>
      <c r="G7" s="140"/>
      <c r="H7" s="140"/>
      <c r="I7" s="161"/>
      <c r="J7" s="140"/>
      <c r="K7" s="140"/>
      <c r="L7" s="140"/>
      <c r="M7" s="161"/>
      <c r="N7" s="140"/>
      <c r="O7" s="140"/>
      <c r="P7" s="140"/>
      <c r="Q7" s="161"/>
      <c r="R7" s="140"/>
      <c r="S7" s="140"/>
      <c r="T7" s="140"/>
      <c r="U7" s="161"/>
      <c r="V7" s="140"/>
      <c r="W7" s="140"/>
      <c r="X7" s="140"/>
      <c r="Y7" s="161"/>
      <c r="Z7" s="140"/>
      <c r="AA7" s="140"/>
      <c r="AB7" s="140"/>
      <c r="AC7" s="161"/>
      <c r="AD7" s="140"/>
      <c r="AE7" s="140"/>
      <c r="AF7" s="140"/>
      <c r="AG7" s="161"/>
      <c r="AH7" s="140"/>
      <c r="AI7" s="140">
        <v>21.2</v>
      </c>
      <c r="AJ7" s="140">
        <v>21.2</v>
      </c>
      <c r="AK7" s="161">
        <v>21.2</v>
      </c>
      <c r="AL7" s="140">
        <v>21.2</v>
      </c>
      <c r="AM7" s="140">
        <v>21.2</v>
      </c>
      <c r="AN7" s="140">
        <v>21.2</v>
      </c>
      <c r="AO7" s="140">
        <v>21.2</v>
      </c>
      <c r="AP7" s="140">
        <v>21.2</v>
      </c>
      <c r="AQ7" s="140">
        <v>21.2</v>
      </c>
      <c r="AR7" s="140">
        <v>0</v>
      </c>
      <c r="AS7" s="140">
        <v>0</v>
      </c>
      <c r="AT7" s="140">
        <v>0</v>
      </c>
      <c r="AU7" s="140">
        <v>0</v>
      </c>
      <c r="AV7" s="140">
        <v>0</v>
      </c>
      <c r="AW7" s="140">
        <v>0</v>
      </c>
    </row>
    <row r="8" spans="1:49" s="135" customFormat="1" ht="12.75">
      <c r="A8" s="153" t="s">
        <v>476</v>
      </c>
      <c r="B8" s="140">
        <v>10</v>
      </c>
      <c r="C8" s="140">
        <v>10</v>
      </c>
      <c r="D8" s="140">
        <v>10</v>
      </c>
      <c r="E8" s="161">
        <v>10</v>
      </c>
      <c r="F8" s="140">
        <v>10</v>
      </c>
      <c r="G8" s="140">
        <v>10</v>
      </c>
      <c r="H8" s="140">
        <v>10</v>
      </c>
      <c r="I8" s="161">
        <v>10</v>
      </c>
      <c r="J8" s="140">
        <v>10</v>
      </c>
      <c r="K8" s="140">
        <v>9.1</v>
      </c>
      <c r="L8" s="140">
        <v>9.1</v>
      </c>
      <c r="M8" s="161">
        <v>9.1</v>
      </c>
      <c r="N8" s="140">
        <v>9.1</v>
      </c>
      <c r="O8" s="140">
        <v>9.1</v>
      </c>
      <c r="P8" s="140">
        <v>9.1</v>
      </c>
      <c r="Q8" s="161">
        <v>10</v>
      </c>
      <c r="R8" s="140">
        <v>10</v>
      </c>
      <c r="S8" s="140">
        <v>10</v>
      </c>
      <c r="T8" s="140">
        <v>10</v>
      </c>
      <c r="U8" s="161">
        <v>10</v>
      </c>
      <c r="V8" s="140">
        <v>10</v>
      </c>
      <c r="W8" s="140">
        <v>10</v>
      </c>
      <c r="X8" s="140">
        <v>10</v>
      </c>
      <c r="Y8" s="161">
        <v>10</v>
      </c>
      <c r="Z8" s="140">
        <v>10</v>
      </c>
      <c r="AA8" s="140">
        <v>10</v>
      </c>
      <c r="AB8" s="140">
        <v>10</v>
      </c>
      <c r="AC8" s="161">
        <v>20.2</v>
      </c>
      <c r="AD8" s="140">
        <v>20.2</v>
      </c>
      <c r="AE8" s="140">
        <v>20.2</v>
      </c>
      <c r="AF8" s="140">
        <v>11.1</v>
      </c>
      <c r="AG8" s="161">
        <v>0.7</v>
      </c>
      <c r="AH8" s="140">
        <v>12</v>
      </c>
      <c r="AI8" s="140">
        <v>0</v>
      </c>
      <c r="AJ8" s="140">
        <v>0</v>
      </c>
      <c r="AK8" s="161">
        <v>0</v>
      </c>
      <c r="AL8" s="140">
        <v>0</v>
      </c>
      <c r="AM8" s="140">
        <v>0</v>
      </c>
      <c r="AN8" s="140">
        <v>0</v>
      </c>
      <c r="AO8" s="140">
        <v>0</v>
      </c>
      <c r="AP8" s="140">
        <v>0</v>
      </c>
      <c r="AQ8" s="140">
        <v>0</v>
      </c>
      <c r="AR8" s="140">
        <v>0</v>
      </c>
      <c r="AS8" s="140">
        <v>0</v>
      </c>
      <c r="AT8" s="140">
        <v>0</v>
      </c>
      <c r="AU8" s="140">
        <v>0</v>
      </c>
      <c r="AV8" s="140">
        <v>0</v>
      </c>
      <c r="AW8" s="140">
        <v>0</v>
      </c>
    </row>
    <row r="9" spans="1:49" s="135" customFormat="1" ht="12.75">
      <c r="A9" s="153" t="s">
        <v>327</v>
      </c>
      <c r="B9" s="140"/>
      <c r="C9" s="140"/>
      <c r="D9" s="140"/>
      <c r="E9" s="161"/>
      <c r="F9" s="140"/>
      <c r="G9" s="140"/>
      <c r="H9" s="140"/>
      <c r="I9" s="161"/>
      <c r="J9" s="140"/>
      <c r="K9" s="140"/>
      <c r="L9" s="140"/>
      <c r="M9" s="161"/>
      <c r="N9" s="140"/>
      <c r="O9" s="140"/>
      <c r="P9" s="140"/>
      <c r="Q9" s="161"/>
      <c r="R9" s="140">
        <v>0</v>
      </c>
      <c r="S9" s="140">
        <v>0</v>
      </c>
      <c r="T9" s="140">
        <v>0</v>
      </c>
      <c r="U9" s="161">
        <v>0</v>
      </c>
      <c r="V9" s="140">
        <v>0</v>
      </c>
      <c r="W9" s="140">
        <v>0</v>
      </c>
      <c r="X9" s="140">
        <v>0</v>
      </c>
      <c r="Y9" s="161">
        <v>0</v>
      </c>
      <c r="Z9" s="140">
        <v>0</v>
      </c>
      <c r="AA9" s="140">
        <v>0</v>
      </c>
      <c r="AB9" s="140">
        <v>0</v>
      </c>
      <c r="AC9" s="161">
        <v>0</v>
      </c>
      <c r="AD9" s="140">
        <v>0</v>
      </c>
      <c r="AE9" s="140">
        <v>0</v>
      </c>
      <c r="AF9" s="140">
        <v>9.1</v>
      </c>
      <c r="AG9" s="161">
        <v>16.3</v>
      </c>
      <c r="AH9" s="140">
        <v>9.2</v>
      </c>
      <c r="AI9" s="140">
        <v>0</v>
      </c>
      <c r="AJ9" s="140">
        <v>0</v>
      </c>
      <c r="AK9" s="161">
        <v>0</v>
      </c>
      <c r="AL9" s="140">
        <v>0</v>
      </c>
      <c r="AM9" s="140">
        <v>0</v>
      </c>
      <c r="AN9" s="140">
        <v>0</v>
      </c>
      <c r="AO9" s="140">
        <v>0</v>
      </c>
      <c r="AP9" s="140">
        <v>0</v>
      </c>
      <c r="AQ9" s="140">
        <v>0</v>
      </c>
      <c r="AR9" s="140">
        <v>0</v>
      </c>
      <c r="AS9" s="140">
        <v>0</v>
      </c>
      <c r="AT9" s="140">
        <v>0</v>
      </c>
      <c r="AU9" s="140">
        <v>0</v>
      </c>
      <c r="AV9" s="140">
        <v>0</v>
      </c>
      <c r="AW9" s="140">
        <v>0</v>
      </c>
    </row>
    <row r="10" spans="1:49" s="135" customFormat="1" ht="12.75">
      <c r="A10" s="153" t="s">
        <v>469</v>
      </c>
      <c r="B10" s="140"/>
      <c r="C10" s="140"/>
      <c r="D10" s="140"/>
      <c r="E10" s="161"/>
      <c r="F10" s="140"/>
      <c r="G10" s="140"/>
      <c r="H10" s="140"/>
      <c r="I10" s="161"/>
      <c r="J10" s="140"/>
      <c r="K10" s="140"/>
      <c r="L10" s="140"/>
      <c r="M10" s="161"/>
      <c r="N10" s="140"/>
      <c r="O10" s="140"/>
      <c r="P10" s="140"/>
      <c r="Q10" s="161"/>
      <c r="R10" s="140">
        <v>0</v>
      </c>
      <c r="S10" s="140">
        <v>0</v>
      </c>
      <c r="T10" s="140">
        <v>0</v>
      </c>
      <c r="U10" s="161">
        <v>0</v>
      </c>
      <c r="V10" s="140">
        <v>0</v>
      </c>
      <c r="W10" s="140">
        <v>0</v>
      </c>
      <c r="X10" s="140">
        <v>0</v>
      </c>
      <c r="Y10" s="161">
        <v>0</v>
      </c>
      <c r="Z10" s="140">
        <v>0</v>
      </c>
      <c r="AA10" s="140">
        <v>0</v>
      </c>
      <c r="AB10" s="140">
        <v>0</v>
      </c>
      <c r="AC10" s="161">
        <v>0</v>
      </c>
      <c r="AD10" s="140">
        <v>8</v>
      </c>
      <c r="AE10" s="140">
        <v>8</v>
      </c>
      <c r="AF10" s="140">
        <v>8</v>
      </c>
      <c r="AG10" s="161">
        <v>7</v>
      </c>
      <c r="AH10" s="140">
        <v>7</v>
      </c>
      <c r="AI10" s="140">
        <v>7</v>
      </c>
      <c r="AJ10" s="140">
        <v>7</v>
      </c>
      <c r="AK10" s="161">
        <v>7</v>
      </c>
      <c r="AL10" s="140">
        <v>7</v>
      </c>
      <c r="AM10" s="140">
        <v>7</v>
      </c>
      <c r="AN10" s="140">
        <v>7</v>
      </c>
      <c r="AO10" s="140">
        <v>7</v>
      </c>
      <c r="AP10" s="140">
        <v>7</v>
      </c>
      <c r="AQ10" s="140">
        <v>7</v>
      </c>
      <c r="AR10" s="140">
        <v>7</v>
      </c>
      <c r="AS10" s="140">
        <v>7</v>
      </c>
      <c r="AT10" s="140">
        <v>7</v>
      </c>
      <c r="AU10" s="140">
        <v>7</v>
      </c>
      <c r="AV10" s="140">
        <v>7</v>
      </c>
      <c r="AW10" s="140">
        <v>7</v>
      </c>
    </row>
    <row r="11" spans="1:49" s="135" customFormat="1" ht="12.75">
      <c r="A11" s="153" t="s">
        <v>328</v>
      </c>
      <c r="B11" s="140"/>
      <c r="C11" s="140"/>
      <c r="D11" s="140"/>
      <c r="E11" s="161"/>
      <c r="F11" s="140"/>
      <c r="G11" s="140"/>
      <c r="H11" s="140"/>
      <c r="I11" s="161"/>
      <c r="J11" s="140"/>
      <c r="K11" s="140"/>
      <c r="L11" s="140"/>
      <c r="M11" s="161"/>
      <c r="N11" s="140"/>
      <c r="O11" s="140"/>
      <c r="P11" s="140"/>
      <c r="Q11" s="161"/>
      <c r="R11" s="140"/>
      <c r="S11" s="140"/>
      <c r="T11" s="140"/>
      <c r="U11" s="161"/>
      <c r="V11" s="140"/>
      <c r="W11" s="140"/>
      <c r="X11" s="140"/>
      <c r="Y11" s="161"/>
      <c r="Z11" s="140"/>
      <c r="AA11" s="140"/>
      <c r="AB11" s="140"/>
      <c r="AC11" s="161"/>
      <c r="AD11" s="140"/>
      <c r="AE11" s="140"/>
      <c r="AF11" s="140"/>
      <c r="AG11" s="161">
        <v>4.4</v>
      </c>
      <c r="AH11" s="140">
        <v>0</v>
      </c>
      <c r="AI11" s="140">
        <v>0</v>
      </c>
      <c r="AJ11" s="140">
        <v>0</v>
      </c>
      <c r="AK11" s="161">
        <v>0</v>
      </c>
      <c r="AL11" s="140">
        <v>0</v>
      </c>
      <c r="AM11" s="140">
        <v>0</v>
      </c>
      <c r="AN11" s="140">
        <v>0</v>
      </c>
      <c r="AO11" s="140">
        <v>0</v>
      </c>
      <c r="AP11" s="140">
        <v>0</v>
      </c>
      <c r="AQ11" s="140">
        <v>0</v>
      </c>
      <c r="AR11" s="140">
        <v>0</v>
      </c>
      <c r="AS11" s="140">
        <v>0</v>
      </c>
      <c r="AT11" s="140">
        <v>0</v>
      </c>
      <c r="AU11" s="140">
        <v>0</v>
      </c>
      <c r="AV11" s="140">
        <v>0</v>
      </c>
      <c r="AW11" s="140">
        <v>0</v>
      </c>
    </row>
    <row r="12" spans="1:49" s="135" customFormat="1" ht="12.75">
      <c r="A12" s="153" t="s">
        <v>218</v>
      </c>
      <c r="B12" s="140">
        <v>0</v>
      </c>
      <c r="C12" s="140">
        <v>0</v>
      </c>
      <c r="D12" s="140">
        <v>0</v>
      </c>
      <c r="E12" s="161">
        <v>0</v>
      </c>
      <c r="F12" s="140">
        <v>0</v>
      </c>
      <c r="G12" s="140">
        <v>0</v>
      </c>
      <c r="H12" s="140">
        <v>0</v>
      </c>
      <c r="I12" s="161">
        <v>0</v>
      </c>
      <c r="J12" s="140">
        <v>1</v>
      </c>
      <c r="K12" s="140">
        <v>10</v>
      </c>
      <c r="L12" s="140">
        <v>10</v>
      </c>
      <c r="M12" s="161">
        <v>9.8</v>
      </c>
      <c r="N12" s="140">
        <v>8</v>
      </c>
      <c r="O12" s="140">
        <v>8</v>
      </c>
      <c r="P12" s="140">
        <v>8</v>
      </c>
      <c r="Q12" s="161">
        <v>8</v>
      </c>
      <c r="R12" s="140">
        <v>7.7</v>
      </c>
      <c r="S12" s="140">
        <v>7.3</v>
      </c>
      <c r="T12" s="140">
        <v>6.9</v>
      </c>
      <c r="U12" s="161">
        <v>0</v>
      </c>
      <c r="V12" s="140">
        <v>0</v>
      </c>
      <c r="W12" s="140">
        <v>0</v>
      </c>
      <c r="X12" s="140">
        <v>0</v>
      </c>
      <c r="Y12" s="161">
        <v>0</v>
      </c>
      <c r="Z12" s="140">
        <v>0</v>
      </c>
      <c r="AA12" s="140">
        <v>0</v>
      </c>
      <c r="AB12" s="140">
        <v>0</v>
      </c>
      <c r="AC12" s="161">
        <v>0</v>
      </c>
      <c r="AD12" s="140">
        <v>0</v>
      </c>
      <c r="AE12" s="140">
        <v>0</v>
      </c>
      <c r="AF12" s="140">
        <v>0</v>
      </c>
      <c r="AG12" s="161">
        <v>0</v>
      </c>
      <c r="AH12" s="140">
        <v>0</v>
      </c>
      <c r="AI12" s="140">
        <v>0</v>
      </c>
      <c r="AJ12" s="140">
        <v>0</v>
      </c>
      <c r="AK12" s="161">
        <v>0</v>
      </c>
      <c r="AL12" s="140">
        <v>0</v>
      </c>
      <c r="AM12" s="140">
        <v>0</v>
      </c>
      <c r="AN12" s="140">
        <v>0</v>
      </c>
      <c r="AO12" s="140">
        <v>0</v>
      </c>
      <c r="AP12" s="140">
        <v>0</v>
      </c>
      <c r="AQ12" s="140">
        <v>0</v>
      </c>
      <c r="AR12" s="140">
        <v>0</v>
      </c>
      <c r="AS12" s="140">
        <v>0</v>
      </c>
      <c r="AT12" s="140">
        <v>0</v>
      </c>
      <c r="AU12" s="140">
        <v>0</v>
      </c>
      <c r="AV12" s="140">
        <v>0</v>
      </c>
      <c r="AW12" s="140">
        <v>0</v>
      </c>
    </row>
    <row r="13" spans="1:49" s="135" customFormat="1" ht="12.75">
      <c r="A13" s="153" t="s">
        <v>219</v>
      </c>
      <c r="B13" s="140">
        <v>0</v>
      </c>
      <c r="C13" s="140">
        <v>0</v>
      </c>
      <c r="D13" s="140">
        <v>0</v>
      </c>
      <c r="E13" s="161">
        <v>0</v>
      </c>
      <c r="F13" s="140">
        <v>0</v>
      </c>
      <c r="G13" s="140">
        <v>0</v>
      </c>
      <c r="H13" s="140">
        <v>0</v>
      </c>
      <c r="I13" s="161">
        <v>0</v>
      </c>
      <c r="J13" s="140">
        <v>0</v>
      </c>
      <c r="K13" s="140">
        <v>0</v>
      </c>
      <c r="L13" s="140">
        <v>0</v>
      </c>
      <c r="M13" s="161">
        <v>0</v>
      </c>
      <c r="N13" s="140">
        <v>0</v>
      </c>
      <c r="O13" s="140">
        <v>0</v>
      </c>
      <c r="P13" s="140">
        <v>0</v>
      </c>
      <c r="Q13" s="161">
        <v>0</v>
      </c>
      <c r="R13" s="140">
        <v>0</v>
      </c>
      <c r="S13" s="140">
        <v>0</v>
      </c>
      <c r="T13" s="140">
        <v>0</v>
      </c>
      <c r="U13" s="161">
        <v>6.9</v>
      </c>
      <c r="V13" s="140">
        <v>7</v>
      </c>
      <c r="W13" s="140">
        <v>8.6</v>
      </c>
      <c r="X13" s="140">
        <v>8.2</v>
      </c>
      <c r="Y13" s="161">
        <v>8.2</v>
      </c>
      <c r="Z13" s="140">
        <v>8.3</v>
      </c>
      <c r="AA13" s="140">
        <v>8.3</v>
      </c>
      <c r="AB13" s="140">
        <v>8.2</v>
      </c>
      <c r="AC13" s="161">
        <v>8.3</v>
      </c>
      <c r="AD13" s="140">
        <v>7</v>
      </c>
      <c r="AE13" s="140">
        <v>7</v>
      </c>
      <c r="AF13" s="140">
        <v>7</v>
      </c>
      <c r="AG13" s="161">
        <v>7.3</v>
      </c>
      <c r="AH13" s="140">
        <v>7.3</v>
      </c>
      <c r="AI13" s="140">
        <v>7.3</v>
      </c>
      <c r="AJ13" s="140">
        <v>0</v>
      </c>
      <c r="AK13" s="161">
        <v>0</v>
      </c>
      <c r="AL13" s="140">
        <v>0</v>
      </c>
      <c r="AM13" s="140">
        <v>0</v>
      </c>
      <c r="AN13" s="140">
        <v>0</v>
      </c>
      <c r="AO13" s="140">
        <v>0</v>
      </c>
      <c r="AP13" s="140">
        <v>0</v>
      </c>
      <c r="AQ13" s="140">
        <v>0</v>
      </c>
      <c r="AR13" s="140">
        <v>0</v>
      </c>
      <c r="AS13" s="140">
        <v>0</v>
      </c>
      <c r="AT13" s="140">
        <v>0</v>
      </c>
      <c r="AU13" s="140">
        <v>0</v>
      </c>
      <c r="AV13" s="140">
        <v>0</v>
      </c>
      <c r="AW13" s="140">
        <v>0</v>
      </c>
    </row>
    <row r="14" spans="1:49" s="135" customFormat="1" ht="12.75">
      <c r="A14" s="153" t="s">
        <v>470</v>
      </c>
      <c r="B14" s="140"/>
      <c r="C14" s="140"/>
      <c r="D14" s="140"/>
      <c r="E14" s="161"/>
      <c r="F14" s="140"/>
      <c r="G14" s="140"/>
      <c r="H14" s="140"/>
      <c r="I14" s="161"/>
      <c r="J14" s="140"/>
      <c r="K14" s="140"/>
      <c r="L14" s="140"/>
      <c r="M14" s="161"/>
      <c r="N14" s="140"/>
      <c r="O14" s="140"/>
      <c r="P14" s="140"/>
      <c r="Q14" s="161"/>
      <c r="R14" s="140">
        <v>0</v>
      </c>
      <c r="S14" s="140">
        <v>0</v>
      </c>
      <c r="T14" s="140">
        <v>0</v>
      </c>
      <c r="U14" s="161">
        <v>0</v>
      </c>
      <c r="V14" s="140">
        <v>0</v>
      </c>
      <c r="W14" s="140">
        <v>0</v>
      </c>
      <c r="X14" s="140">
        <v>0</v>
      </c>
      <c r="Y14" s="161">
        <v>0</v>
      </c>
      <c r="Z14" s="140">
        <v>0</v>
      </c>
      <c r="AA14" s="140">
        <v>0</v>
      </c>
      <c r="AB14" s="140">
        <v>0</v>
      </c>
      <c r="AC14" s="161">
        <v>0</v>
      </c>
      <c r="AD14" s="140">
        <v>7</v>
      </c>
      <c r="AE14" s="140">
        <v>7</v>
      </c>
      <c r="AF14" s="140">
        <v>7</v>
      </c>
      <c r="AG14" s="161">
        <v>7.3</v>
      </c>
      <c r="AH14" s="140">
        <v>7.3</v>
      </c>
      <c r="AI14" s="140">
        <v>7.3</v>
      </c>
      <c r="AJ14" s="140">
        <v>7.3</v>
      </c>
      <c r="AK14" s="161">
        <v>7.3</v>
      </c>
      <c r="AL14" s="140">
        <v>7.3</v>
      </c>
      <c r="AM14" s="140">
        <v>7.3</v>
      </c>
      <c r="AN14" s="140">
        <v>7.3</v>
      </c>
      <c r="AO14" s="140">
        <v>7.3</v>
      </c>
      <c r="AP14" s="140">
        <v>7.3</v>
      </c>
      <c r="AQ14" s="140">
        <v>7.3</v>
      </c>
      <c r="AR14" s="140">
        <v>7.3</v>
      </c>
      <c r="AS14" s="140">
        <v>7.3</v>
      </c>
      <c r="AT14" s="140">
        <v>7.3</v>
      </c>
      <c r="AU14" s="140">
        <v>7.3</v>
      </c>
      <c r="AV14" s="140">
        <v>7.3</v>
      </c>
      <c r="AW14" s="140">
        <v>7.3</v>
      </c>
    </row>
    <row r="15" spans="1:49" s="135" customFormat="1" ht="12.75">
      <c r="A15" s="153" t="s">
        <v>471</v>
      </c>
      <c r="B15" s="140">
        <v>0</v>
      </c>
      <c r="C15" s="140">
        <v>0</v>
      </c>
      <c r="D15" s="140">
        <v>0</v>
      </c>
      <c r="E15" s="161">
        <v>0</v>
      </c>
      <c r="F15" s="140">
        <v>0</v>
      </c>
      <c r="G15" s="140">
        <v>0</v>
      </c>
      <c r="H15" s="140">
        <v>0</v>
      </c>
      <c r="I15" s="161">
        <v>0</v>
      </c>
      <c r="J15" s="140">
        <v>0</v>
      </c>
      <c r="K15" s="140">
        <v>0</v>
      </c>
      <c r="L15" s="140">
        <v>0</v>
      </c>
      <c r="M15" s="161">
        <v>0</v>
      </c>
      <c r="N15" s="140">
        <v>0</v>
      </c>
      <c r="O15" s="140">
        <v>0</v>
      </c>
      <c r="P15" s="140">
        <v>0</v>
      </c>
      <c r="Q15" s="161">
        <v>0</v>
      </c>
      <c r="R15" s="140">
        <v>0</v>
      </c>
      <c r="S15" s="140">
        <v>0</v>
      </c>
      <c r="T15" s="140">
        <v>0</v>
      </c>
      <c r="U15" s="161">
        <v>0</v>
      </c>
      <c r="V15" s="140">
        <v>5.5</v>
      </c>
      <c r="W15" s="140">
        <v>5.5</v>
      </c>
      <c r="X15" s="140">
        <v>5.5</v>
      </c>
      <c r="Y15" s="161">
        <v>5.5</v>
      </c>
      <c r="Z15" s="140">
        <v>5.5</v>
      </c>
      <c r="AA15" s="140">
        <v>5.5</v>
      </c>
      <c r="AB15" s="140">
        <v>5.5</v>
      </c>
      <c r="AC15" s="161">
        <v>5.5</v>
      </c>
      <c r="AD15" s="140">
        <v>5.5</v>
      </c>
      <c r="AE15" s="140">
        <v>5.5</v>
      </c>
      <c r="AF15" s="140">
        <v>5.5</v>
      </c>
      <c r="AG15" s="161">
        <v>5.7</v>
      </c>
      <c r="AH15" s="140">
        <v>5.7</v>
      </c>
      <c r="AI15" s="140">
        <v>5.7</v>
      </c>
      <c r="AJ15" s="140">
        <v>5.7</v>
      </c>
      <c r="AK15" s="161">
        <v>5.7</v>
      </c>
      <c r="AL15" s="140">
        <v>5.7</v>
      </c>
      <c r="AM15" s="140">
        <v>5.7</v>
      </c>
      <c r="AN15" s="140">
        <v>5.7</v>
      </c>
      <c r="AO15" s="140">
        <v>5.7</v>
      </c>
      <c r="AP15" s="140">
        <v>5.7</v>
      </c>
      <c r="AQ15" s="140">
        <v>5.7</v>
      </c>
      <c r="AR15" s="140">
        <v>5.7</v>
      </c>
      <c r="AS15" s="140">
        <v>5.7</v>
      </c>
      <c r="AT15" s="140">
        <v>5.7</v>
      </c>
      <c r="AU15" s="140">
        <v>5.7</v>
      </c>
      <c r="AV15" s="140">
        <v>5.7</v>
      </c>
      <c r="AW15" s="140">
        <v>5.7</v>
      </c>
    </row>
    <row r="16" spans="1:49" s="135" customFormat="1" ht="12.75">
      <c r="A16" s="153" t="s">
        <v>472</v>
      </c>
      <c r="B16" s="140"/>
      <c r="C16" s="140"/>
      <c r="D16" s="140"/>
      <c r="E16" s="161"/>
      <c r="F16" s="140"/>
      <c r="G16" s="140"/>
      <c r="H16" s="140"/>
      <c r="I16" s="161"/>
      <c r="J16" s="140"/>
      <c r="K16" s="140"/>
      <c r="L16" s="140"/>
      <c r="M16" s="161"/>
      <c r="N16" s="140"/>
      <c r="O16" s="140"/>
      <c r="P16" s="140"/>
      <c r="Q16" s="161"/>
      <c r="R16" s="140"/>
      <c r="S16" s="140"/>
      <c r="T16" s="140"/>
      <c r="U16" s="161"/>
      <c r="V16" s="140"/>
      <c r="W16" s="140"/>
      <c r="X16" s="140"/>
      <c r="Y16" s="161"/>
      <c r="Z16" s="140"/>
      <c r="AA16" s="140"/>
      <c r="AB16" s="140"/>
      <c r="AC16" s="161"/>
      <c r="AD16" s="140"/>
      <c r="AE16" s="140"/>
      <c r="AF16" s="140"/>
      <c r="AG16" s="161"/>
      <c r="AH16" s="140">
        <v>5</v>
      </c>
      <c r="AI16" s="140">
        <v>5</v>
      </c>
      <c r="AJ16" s="140">
        <v>5</v>
      </c>
      <c r="AK16" s="161">
        <v>5</v>
      </c>
      <c r="AL16" s="140">
        <v>5</v>
      </c>
      <c r="AM16" s="140">
        <v>5</v>
      </c>
      <c r="AN16" s="140">
        <v>5</v>
      </c>
      <c r="AO16" s="140">
        <v>5.03</v>
      </c>
      <c r="AP16" s="140">
        <v>5</v>
      </c>
      <c r="AQ16" s="140">
        <v>5</v>
      </c>
      <c r="AR16" s="140">
        <v>5</v>
      </c>
      <c r="AS16" s="140">
        <v>5</v>
      </c>
      <c r="AT16" s="140">
        <v>5</v>
      </c>
      <c r="AU16" s="140">
        <v>5</v>
      </c>
      <c r="AV16" s="140">
        <v>5</v>
      </c>
      <c r="AW16" s="140">
        <v>5</v>
      </c>
    </row>
    <row r="17" spans="1:49" s="135" customFormat="1" ht="12.75">
      <c r="A17" s="153" t="s">
        <v>473</v>
      </c>
      <c r="B17" s="140">
        <v>0</v>
      </c>
      <c r="C17" s="140">
        <v>0</v>
      </c>
      <c r="D17" s="162">
        <v>0</v>
      </c>
      <c r="E17" s="161">
        <v>0</v>
      </c>
      <c r="F17" s="140">
        <v>0</v>
      </c>
      <c r="G17" s="140">
        <v>0</v>
      </c>
      <c r="H17" s="162">
        <v>0</v>
      </c>
      <c r="I17" s="161">
        <v>0</v>
      </c>
      <c r="J17" s="140">
        <v>0</v>
      </c>
      <c r="K17" s="140">
        <v>0</v>
      </c>
      <c r="L17" s="162">
        <v>0</v>
      </c>
      <c r="M17" s="161">
        <v>0</v>
      </c>
      <c r="N17" s="140">
        <v>0</v>
      </c>
      <c r="O17" s="140">
        <v>0</v>
      </c>
      <c r="P17" s="162">
        <v>0</v>
      </c>
      <c r="Q17" s="161">
        <v>0</v>
      </c>
      <c r="R17" s="140">
        <v>0</v>
      </c>
      <c r="S17" s="140">
        <v>0</v>
      </c>
      <c r="T17" s="162">
        <v>0</v>
      </c>
      <c r="U17" s="161">
        <v>0</v>
      </c>
      <c r="V17" s="140">
        <v>0</v>
      </c>
      <c r="W17" s="140">
        <v>0</v>
      </c>
      <c r="X17" s="162">
        <v>0</v>
      </c>
      <c r="Y17" s="161">
        <v>0</v>
      </c>
      <c r="Z17" s="140">
        <v>0</v>
      </c>
      <c r="AA17" s="140">
        <v>0</v>
      </c>
      <c r="AB17" s="162" t="s">
        <v>287</v>
      </c>
      <c r="AC17" s="161">
        <v>10</v>
      </c>
      <c r="AD17" s="140">
        <v>4.1</v>
      </c>
      <c r="AE17" s="140">
        <v>4.1</v>
      </c>
      <c r="AF17" s="162">
        <v>0.9</v>
      </c>
      <c r="AG17" s="163">
        <v>0.9</v>
      </c>
      <c r="AH17" s="140">
        <v>0.9</v>
      </c>
      <c r="AI17" s="140">
        <v>1.2</v>
      </c>
      <c r="AJ17" s="140">
        <v>1.2</v>
      </c>
      <c r="AK17" s="163">
        <v>1.2</v>
      </c>
      <c r="AL17" s="140">
        <v>1.2</v>
      </c>
      <c r="AM17" s="140">
        <v>1.2</v>
      </c>
      <c r="AN17" s="140">
        <v>1.2</v>
      </c>
      <c r="AO17" s="140">
        <v>1.2</v>
      </c>
      <c r="AP17" s="140">
        <v>1.2</v>
      </c>
      <c r="AQ17" s="140">
        <v>0</v>
      </c>
      <c r="AR17" s="140">
        <v>0</v>
      </c>
      <c r="AS17" s="140">
        <v>0</v>
      </c>
      <c r="AT17" s="140">
        <v>0</v>
      </c>
      <c r="AU17" s="140">
        <v>0</v>
      </c>
      <c r="AV17" s="140">
        <v>0</v>
      </c>
      <c r="AW17" s="140">
        <v>0</v>
      </c>
    </row>
    <row r="18" spans="1:49" s="135" customFormat="1" ht="12.75">
      <c r="A18" s="153" t="s">
        <v>445</v>
      </c>
      <c r="B18" s="140"/>
      <c r="C18" s="140"/>
      <c r="D18" s="162"/>
      <c r="E18" s="161"/>
      <c r="F18" s="140"/>
      <c r="G18" s="140"/>
      <c r="H18" s="162"/>
      <c r="I18" s="161"/>
      <c r="J18" s="140"/>
      <c r="K18" s="140"/>
      <c r="L18" s="162"/>
      <c r="M18" s="161"/>
      <c r="N18" s="140"/>
      <c r="O18" s="140"/>
      <c r="P18" s="162"/>
      <c r="Q18" s="161"/>
      <c r="R18" s="140"/>
      <c r="S18" s="140"/>
      <c r="T18" s="162"/>
      <c r="U18" s="161"/>
      <c r="V18" s="140"/>
      <c r="W18" s="140"/>
      <c r="X18" s="162"/>
      <c r="Y18" s="161"/>
      <c r="Z18" s="140"/>
      <c r="AA18" s="140"/>
      <c r="AB18" s="162"/>
      <c r="AC18" s="161"/>
      <c r="AD18" s="140"/>
      <c r="AE18" s="140"/>
      <c r="AF18" s="162"/>
      <c r="AG18" s="163"/>
      <c r="AH18" s="140"/>
      <c r="AI18" s="140">
        <v>3</v>
      </c>
      <c r="AJ18" s="140">
        <v>3</v>
      </c>
      <c r="AK18" s="163">
        <v>3</v>
      </c>
      <c r="AL18" s="140">
        <v>3</v>
      </c>
      <c r="AM18" s="140">
        <v>3</v>
      </c>
      <c r="AN18" s="140">
        <v>3</v>
      </c>
      <c r="AO18" s="140">
        <v>3</v>
      </c>
      <c r="AP18" s="140">
        <v>3</v>
      </c>
      <c r="AQ18" s="140">
        <v>3</v>
      </c>
      <c r="AR18" s="140">
        <v>3</v>
      </c>
      <c r="AS18" s="140">
        <v>3</v>
      </c>
      <c r="AT18" s="140">
        <v>3</v>
      </c>
      <c r="AU18" s="140">
        <v>3</v>
      </c>
      <c r="AV18" s="140">
        <v>3</v>
      </c>
      <c r="AW18" s="140">
        <v>3</v>
      </c>
    </row>
    <row r="19" spans="1:49" s="135" customFormat="1" ht="12.75">
      <c r="A19" s="153" t="s">
        <v>446</v>
      </c>
      <c r="B19" s="140"/>
      <c r="C19" s="140"/>
      <c r="D19" s="162"/>
      <c r="E19" s="161"/>
      <c r="F19" s="140"/>
      <c r="G19" s="140"/>
      <c r="H19" s="162"/>
      <c r="I19" s="161"/>
      <c r="J19" s="140"/>
      <c r="K19" s="140"/>
      <c r="L19" s="162"/>
      <c r="M19" s="161"/>
      <c r="N19" s="140"/>
      <c r="O19" s="140"/>
      <c r="P19" s="162"/>
      <c r="Q19" s="161"/>
      <c r="R19" s="140"/>
      <c r="S19" s="140"/>
      <c r="T19" s="162"/>
      <c r="U19" s="161"/>
      <c r="V19" s="140"/>
      <c r="W19" s="140"/>
      <c r="X19" s="162"/>
      <c r="Y19" s="161"/>
      <c r="Z19" s="140"/>
      <c r="AA19" s="140"/>
      <c r="AB19" s="162"/>
      <c r="AC19" s="161"/>
      <c r="AD19" s="140"/>
      <c r="AE19" s="140"/>
      <c r="AF19" s="162"/>
      <c r="AG19" s="163"/>
      <c r="AH19" s="140"/>
      <c r="AI19" s="140">
        <v>3</v>
      </c>
      <c r="AJ19" s="140">
        <v>3</v>
      </c>
      <c r="AK19" s="163">
        <v>3</v>
      </c>
      <c r="AL19" s="140">
        <v>3</v>
      </c>
      <c r="AM19" s="140">
        <v>3</v>
      </c>
      <c r="AN19" s="140">
        <v>3</v>
      </c>
      <c r="AO19" s="140">
        <v>3</v>
      </c>
      <c r="AP19" s="140">
        <v>3</v>
      </c>
      <c r="AQ19" s="140">
        <v>3</v>
      </c>
      <c r="AR19" s="140">
        <v>3</v>
      </c>
      <c r="AS19" s="140">
        <v>3</v>
      </c>
      <c r="AT19" s="140">
        <v>3</v>
      </c>
      <c r="AU19" s="140">
        <v>3</v>
      </c>
      <c r="AV19" s="140">
        <v>3</v>
      </c>
      <c r="AW19" s="140">
        <v>3</v>
      </c>
    </row>
    <row r="20" spans="1:49" s="135" customFormat="1" ht="12.75">
      <c r="A20" s="153" t="s">
        <v>537</v>
      </c>
      <c r="B20" s="140"/>
      <c r="C20" s="140"/>
      <c r="D20" s="162"/>
      <c r="E20" s="161"/>
      <c r="F20" s="140"/>
      <c r="G20" s="140"/>
      <c r="H20" s="162"/>
      <c r="I20" s="161"/>
      <c r="J20" s="140"/>
      <c r="K20" s="140"/>
      <c r="L20" s="162"/>
      <c r="M20" s="161"/>
      <c r="N20" s="140"/>
      <c r="O20" s="140"/>
      <c r="P20" s="162"/>
      <c r="Q20" s="161"/>
      <c r="R20" s="140"/>
      <c r="S20" s="140"/>
      <c r="T20" s="162"/>
      <c r="U20" s="161"/>
      <c r="V20" s="140"/>
      <c r="W20" s="140"/>
      <c r="X20" s="162"/>
      <c r="Y20" s="161"/>
      <c r="Z20" s="140"/>
      <c r="AA20" s="140"/>
      <c r="AB20" s="162"/>
      <c r="AC20" s="161"/>
      <c r="AD20" s="140"/>
      <c r="AE20" s="140"/>
      <c r="AF20" s="162"/>
      <c r="AG20" s="163"/>
      <c r="AH20" s="140"/>
      <c r="AI20" s="140"/>
      <c r="AJ20" s="140"/>
      <c r="AK20" s="163"/>
      <c r="AL20" s="140"/>
      <c r="AM20" s="140"/>
      <c r="AN20" s="140"/>
      <c r="AO20" s="140"/>
      <c r="AP20" s="140">
        <v>2.8</v>
      </c>
      <c r="AQ20" s="140">
        <v>2.8</v>
      </c>
      <c r="AR20" s="140">
        <v>2.8</v>
      </c>
      <c r="AS20" s="140">
        <v>2.8</v>
      </c>
      <c r="AT20" s="140">
        <v>3.4</v>
      </c>
      <c r="AU20" s="140">
        <v>3.4</v>
      </c>
      <c r="AV20" s="140">
        <v>3.4</v>
      </c>
      <c r="AW20" s="140">
        <v>3.4</v>
      </c>
    </row>
    <row r="21" spans="1:49" s="135" customFormat="1" ht="12.75">
      <c r="A21" s="153" t="s">
        <v>288</v>
      </c>
      <c r="B21" s="140">
        <v>0.8536585279099742</v>
      </c>
      <c r="C21" s="140">
        <v>0.8638211294327122</v>
      </c>
      <c r="D21" s="140">
        <v>0.9146341370464011</v>
      </c>
      <c r="E21" s="161">
        <v>0.9499451122973058</v>
      </c>
      <c r="F21" s="140">
        <v>0.8361859671119312</v>
      </c>
      <c r="G21" s="140">
        <v>0.8008129999917377</v>
      </c>
      <c r="H21" s="140">
        <v>0.8313008045599513</v>
      </c>
      <c r="I21" s="161">
        <v>0.8353658451690462</v>
      </c>
      <c r="J21" s="140">
        <v>0.8943089340009255</v>
      </c>
      <c r="K21" s="140">
        <v>0.809480315577934</v>
      </c>
      <c r="L21" s="140">
        <v>0.7863787083981983</v>
      </c>
      <c r="M21" s="161">
        <v>0.8076321870035551</v>
      </c>
      <c r="N21" s="140">
        <v>0.8122719137895332</v>
      </c>
      <c r="O21" s="140">
        <v>0.8113284441523129</v>
      </c>
      <c r="P21" s="140">
        <v>0.8418225656295637</v>
      </c>
      <c r="Q21" s="161">
        <v>0.8405544989804938</v>
      </c>
      <c r="R21" s="140">
        <v>0.7622991513207545</v>
      </c>
      <c r="S21" s="140">
        <v>0.7365209191504876</v>
      </c>
      <c r="T21" s="140">
        <v>0.6881665179462358</v>
      </c>
      <c r="U21" s="161">
        <v>0.5518095338589396</v>
      </c>
      <c r="V21" s="140">
        <v>0.5821989672914454</v>
      </c>
      <c r="W21" s="140">
        <v>0.6218052442876445</v>
      </c>
      <c r="X21" s="140">
        <v>0.6104149865907349</v>
      </c>
      <c r="Y21" s="161">
        <v>0.8670883927079881</v>
      </c>
      <c r="Z21" s="140">
        <v>0.605449303494575</v>
      </c>
      <c r="AA21" s="140">
        <v>8.5</v>
      </c>
      <c r="AB21" s="140">
        <v>9.2</v>
      </c>
      <c r="AC21" s="161">
        <v>9.2</v>
      </c>
      <c r="AD21" s="140">
        <v>9.4</v>
      </c>
      <c r="AE21" s="140">
        <v>9.4</v>
      </c>
      <c r="AF21" s="140">
        <v>7.7</v>
      </c>
      <c r="AG21" s="161">
        <v>8.5</v>
      </c>
      <c r="AH21" s="140">
        <v>8.5</v>
      </c>
      <c r="AI21" s="140">
        <v>6.7</v>
      </c>
      <c r="AJ21" s="140">
        <v>6.5</v>
      </c>
      <c r="AK21" s="161">
        <v>6.4</v>
      </c>
      <c r="AL21" s="140">
        <v>6.2</v>
      </c>
      <c r="AM21" s="140">
        <v>6.1</v>
      </c>
      <c r="AN21" s="140">
        <v>6.1</v>
      </c>
      <c r="AO21" s="140">
        <v>6.2</v>
      </c>
      <c r="AP21" s="140">
        <v>6.2</v>
      </c>
      <c r="AQ21" s="140">
        <v>6.2</v>
      </c>
      <c r="AR21" s="140">
        <v>6.2</v>
      </c>
      <c r="AS21" s="140">
        <v>5.4</v>
      </c>
      <c r="AT21" s="140">
        <v>5.4</v>
      </c>
      <c r="AU21" s="140">
        <v>5.4</v>
      </c>
      <c r="AV21" s="140">
        <v>5.4</v>
      </c>
      <c r="AW21" s="140">
        <v>5.4</v>
      </c>
    </row>
    <row r="22" spans="1:49" s="135" customFormat="1" ht="12.75">
      <c r="A22" s="153" t="s">
        <v>277</v>
      </c>
      <c r="B22" s="140">
        <v>0.7142485802028248</v>
      </c>
      <c r="C22" s="140">
        <v>0.7159672187110103</v>
      </c>
      <c r="D22" s="140">
        <v>0.715761561759138</v>
      </c>
      <c r="E22" s="163">
        <v>0.7157553346789439</v>
      </c>
      <c r="F22" s="140">
        <v>0.6712103245403086</v>
      </c>
      <c r="G22" s="140">
        <v>0.6708216208729294</v>
      </c>
      <c r="H22" s="140">
        <v>0.6744011751780004</v>
      </c>
      <c r="I22" s="163">
        <v>0.7019365792080641</v>
      </c>
      <c r="J22" s="140">
        <v>0.7019410683255204</v>
      </c>
      <c r="K22" s="140">
        <v>0.6312651426319411</v>
      </c>
      <c r="L22" s="140">
        <v>0.8122450035127251</v>
      </c>
      <c r="M22" s="163">
        <v>0.6999316315001588</v>
      </c>
      <c r="N22" s="140">
        <v>1.4198750662153141</v>
      </c>
      <c r="O22" s="140">
        <v>1.5932499594493055</v>
      </c>
      <c r="P22" s="140">
        <v>1.745558646264425</v>
      </c>
      <c r="Q22" s="163">
        <v>1.4790506844699263</v>
      </c>
      <c r="R22" s="140">
        <v>1.4594182347387974</v>
      </c>
      <c r="S22" s="140">
        <v>1.5853665658246578</v>
      </c>
      <c r="T22" s="140">
        <v>1.33633786884441</v>
      </c>
      <c r="U22" s="163">
        <v>0.9603047174925864</v>
      </c>
      <c r="V22" s="140">
        <v>1.2066299996959822</v>
      </c>
      <c r="W22" s="140">
        <v>0.9935386721685244</v>
      </c>
      <c r="X22" s="140">
        <v>0.7754382307267293</v>
      </c>
      <c r="Y22" s="163">
        <v>0.4893512594819468</v>
      </c>
      <c r="Z22" s="140">
        <v>0.43830488066741774</v>
      </c>
      <c r="AA22" s="140">
        <v>5.4</v>
      </c>
      <c r="AB22" s="140">
        <v>5.4</v>
      </c>
      <c r="AC22" s="163" t="s">
        <v>287</v>
      </c>
      <c r="AD22" s="140">
        <v>0</v>
      </c>
      <c r="AE22" s="135">
        <v>0</v>
      </c>
      <c r="AF22" s="140">
        <v>0</v>
      </c>
      <c r="AG22" s="161">
        <v>0</v>
      </c>
      <c r="AH22" s="140">
        <v>0</v>
      </c>
      <c r="AI22" s="140">
        <v>0</v>
      </c>
      <c r="AJ22" s="140">
        <v>0</v>
      </c>
      <c r="AK22" s="161">
        <v>0</v>
      </c>
      <c r="AL22" s="140">
        <v>0</v>
      </c>
      <c r="AM22" s="140">
        <v>0</v>
      </c>
      <c r="AN22" s="140">
        <v>0</v>
      </c>
      <c r="AO22" s="140">
        <v>0</v>
      </c>
      <c r="AP22" s="140">
        <v>0</v>
      </c>
      <c r="AQ22" s="140">
        <v>0</v>
      </c>
      <c r="AR22" s="140">
        <v>0</v>
      </c>
      <c r="AS22" s="140">
        <v>0</v>
      </c>
      <c r="AT22" s="140">
        <v>0</v>
      </c>
      <c r="AU22" s="140">
        <v>0</v>
      </c>
      <c r="AV22" s="140">
        <v>0</v>
      </c>
      <c r="AW22" s="140">
        <v>0</v>
      </c>
    </row>
    <row r="23" spans="1:49" s="135" customFormat="1" ht="12.75">
      <c r="A23" s="153" t="s">
        <v>474</v>
      </c>
      <c r="B23" s="140">
        <v>25</v>
      </c>
      <c r="C23" s="140">
        <v>25</v>
      </c>
      <c r="D23" s="140">
        <v>25</v>
      </c>
      <c r="E23" s="161">
        <v>25</v>
      </c>
      <c r="F23" s="140">
        <v>25</v>
      </c>
      <c r="G23" s="140">
        <v>25</v>
      </c>
      <c r="H23" s="140">
        <v>25</v>
      </c>
      <c r="I23" s="161">
        <v>25</v>
      </c>
      <c r="J23" s="140">
        <v>25</v>
      </c>
      <c r="K23" s="140">
        <v>22.7</v>
      </c>
      <c r="L23" s="140">
        <v>22.7</v>
      </c>
      <c r="M23" s="161">
        <v>22.7</v>
      </c>
      <c r="N23" s="140">
        <v>11.8</v>
      </c>
      <c r="O23" s="140">
        <v>11.8</v>
      </c>
      <c r="P23" s="140">
        <v>11.8</v>
      </c>
      <c r="Q23" s="161">
        <v>11.8</v>
      </c>
      <c r="R23" s="140">
        <v>11.8</v>
      </c>
      <c r="S23" s="140">
        <v>11.8</v>
      </c>
      <c r="T23" s="140">
        <v>11.7</v>
      </c>
      <c r="U23" s="161">
        <v>11.7</v>
      </c>
      <c r="V23" s="140">
        <v>11.7</v>
      </c>
      <c r="W23" s="140">
        <v>1.7</v>
      </c>
      <c r="X23" s="140">
        <v>1.7</v>
      </c>
      <c r="Y23" s="161">
        <v>0</v>
      </c>
      <c r="Z23" s="140">
        <v>0</v>
      </c>
      <c r="AA23" s="140">
        <v>0</v>
      </c>
      <c r="AB23" s="140">
        <v>0</v>
      </c>
      <c r="AC23" s="161">
        <v>0</v>
      </c>
      <c r="AD23" s="140">
        <v>0</v>
      </c>
      <c r="AE23" s="140">
        <v>0</v>
      </c>
      <c r="AF23" s="140">
        <v>0</v>
      </c>
      <c r="AG23" s="161">
        <v>0</v>
      </c>
      <c r="AH23" s="140">
        <v>0</v>
      </c>
      <c r="AI23" s="140">
        <v>0</v>
      </c>
      <c r="AJ23" s="140">
        <v>0</v>
      </c>
      <c r="AK23" s="161">
        <v>0</v>
      </c>
      <c r="AL23" s="140">
        <v>0</v>
      </c>
      <c r="AM23" s="140">
        <v>0</v>
      </c>
      <c r="AN23" s="140">
        <v>0</v>
      </c>
      <c r="AO23" s="140">
        <v>0</v>
      </c>
      <c r="AP23" s="140">
        <v>0</v>
      </c>
      <c r="AQ23" s="140">
        <v>0</v>
      </c>
      <c r="AR23" s="140">
        <v>0</v>
      </c>
      <c r="AS23" s="140">
        <v>0</v>
      </c>
      <c r="AT23" s="140">
        <v>0</v>
      </c>
      <c r="AU23" s="140">
        <v>0</v>
      </c>
      <c r="AV23" s="140">
        <v>0</v>
      </c>
      <c r="AW23" s="140">
        <v>0</v>
      </c>
    </row>
    <row r="24" spans="1:49" s="135" customFormat="1" ht="12.75">
      <c r="A24" s="153" t="s">
        <v>242</v>
      </c>
      <c r="B24" s="140">
        <v>5</v>
      </c>
      <c r="C24" s="140">
        <v>7.8</v>
      </c>
      <c r="D24" s="140">
        <v>5.3</v>
      </c>
      <c r="E24" s="161">
        <v>5.4</v>
      </c>
      <c r="F24" s="140">
        <v>5.1</v>
      </c>
      <c r="G24" s="140">
        <v>5.2</v>
      </c>
      <c r="H24" s="140">
        <v>5.4</v>
      </c>
      <c r="I24" s="161">
        <v>5.9</v>
      </c>
      <c r="J24" s="140">
        <v>7.4</v>
      </c>
      <c r="K24" s="140">
        <v>9.1</v>
      </c>
      <c r="L24" s="140">
        <v>8.7</v>
      </c>
      <c r="M24" s="161">
        <v>9.5</v>
      </c>
      <c r="N24" s="140">
        <v>6.4</v>
      </c>
      <c r="O24" s="140">
        <v>5.7</v>
      </c>
      <c r="P24" s="140">
        <v>4.6</v>
      </c>
      <c r="Q24" s="161">
        <v>4.2</v>
      </c>
      <c r="R24" s="140">
        <v>4</v>
      </c>
      <c r="S24" s="140">
        <v>3.3</v>
      </c>
      <c r="T24" s="140">
        <v>2.7</v>
      </c>
      <c r="U24" s="161">
        <v>6.4</v>
      </c>
      <c r="V24" s="140">
        <v>5.9</v>
      </c>
      <c r="W24" s="140">
        <v>6.7</v>
      </c>
      <c r="X24" s="140">
        <v>7.1</v>
      </c>
      <c r="Y24" s="161">
        <v>7.7</v>
      </c>
      <c r="Z24" s="140">
        <v>8.1</v>
      </c>
      <c r="AA24" s="140">
        <v>5.6</v>
      </c>
      <c r="AB24" s="140">
        <v>17</v>
      </c>
      <c r="AC24" s="161">
        <v>6.8</v>
      </c>
      <c r="AD24" s="140">
        <v>6.9</v>
      </c>
      <c r="AE24" s="140">
        <v>6.5</v>
      </c>
      <c r="AF24" s="140">
        <v>8.7</v>
      </c>
      <c r="AG24" s="161">
        <v>9.3</v>
      </c>
      <c r="AH24" s="140">
        <v>9.5</v>
      </c>
      <c r="AI24" s="140">
        <v>7.9</v>
      </c>
      <c r="AJ24" s="140">
        <v>7.1</v>
      </c>
      <c r="AK24" s="161">
        <v>7.2</v>
      </c>
      <c r="AL24" s="140">
        <v>6.7</v>
      </c>
      <c r="AM24" s="140">
        <v>6.8</v>
      </c>
      <c r="AN24" s="140">
        <v>6.6</v>
      </c>
      <c r="AO24" s="140">
        <v>7.1</v>
      </c>
      <c r="AP24" s="140">
        <v>6.5</v>
      </c>
      <c r="AQ24" s="140">
        <v>6.6</v>
      </c>
      <c r="AR24" s="140">
        <v>5.5</v>
      </c>
      <c r="AS24" s="140">
        <v>5</v>
      </c>
      <c r="AT24" s="140">
        <f>2+2.4</f>
        <v>4.4</v>
      </c>
      <c r="AU24" s="140">
        <f>2+2.9</f>
        <v>4.9</v>
      </c>
      <c r="AV24" s="140">
        <f>1.9+2.6</f>
        <v>4.5</v>
      </c>
      <c r="AW24" s="140">
        <f>1.8+2.6</f>
        <v>4.4</v>
      </c>
    </row>
    <row r="25" spans="1:49" s="135" customFormat="1" ht="12.75">
      <c r="A25" s="153" t="s">
        <v>325</v>
      </c>
      <c r="B25" s="140">
        <v>15.2</v>
      </c>
      <c r="C25" s="140">
        <v>14.5</v>
      </c>
      <c r="D25" s="140">
        <v>14.3</v>
      </c>
      <c r="E25" s="161">
        <v>12.7</v>
      </c>
      <c r="F25" s="140">
        <v>12.3</v>
      </c>
      <c r="G25" s="140">
        <v>13.2</v>
      </c>
      <c r="H25" s="140">
        <v>12.7</v>
      </c>
      <c r="I25" s="161">
        <v>11.5</v>
      </c>
      <c r="J25" s="140">
        <v>11.4</v>
      </c>
      <c r="K25" s="140">
        <v>8.7</v>
      </c>
      <c r="L25" s="140">
        <v>7.8</v>
      </c>
      <c r="M25" s="161">
        <v>8.4</v>
      </c>
      <c r="N25" s="140">
        <v>8.9</v>
      </c>
      <c r="O25" s="140">
        <v>6.7</v>
      </c>
      <c r="P25" s="140">
        <v>5.4</v>
      </c>
      <c r="Q25" s="161">
        <v>5.1</v>
      </c>
      <c r="R25" s="140">
        <v>4.6</v>
      </c>
      <c r="S25" s="140">
        <v>4.4</v>
      </c>
      <c r="T25" s="140">
        <v>3.6</v>
      </c>
      <c r="U25" s="164"/>
      <c r="V25" s="165"/>
      <c r="W25" s="165"/>
      <c r="X25" s="165"/>
      <c r="Y25" s="164"/>
      <c r="Z25" s="165"/>
      <c r="AA25" s="165"/>
      <c r="AB25" s="165"/>
      <c r="AC25" s="164"/>
      <c r="AD25" s="165"/>
      <c r="AE25" s="165"/>
      <c r="AF25" s="165"/>
      <c r="AG25" s="164"/>
      <c r="AH25" s="165"/>
      <c r="AI25" s="165"/>
      <c r="AJ25" s="165"/>
      <c r="AK25" s="164"/>
      <c r="AL25" s="165"/>
      <c r="AM25" s="165"/>
      <c r="AN25" s="165"/>
      <c r="AO25" s="165"/>
      <c r="AP25" s="165"/>
      <c r="AQ25" s="165"/>
      <c r="AR25" s="165"/>
      <c r="AS25" s="165"/>
      <c r="AT25" s="165"/>
      <c r="AU25" s="165"/>
      <c r="AV25" s="165"/>
      <c r="AW25" s="165"/>
    </row>
    <row r="26" spans="1:49" s="135" customFormat="1" ht="12.75">
      <c r="A26" s="153" t="s">
        <v>475</v>
      </c>
      <c r="B26" s="140">
        <v>0.6</v>
      </c>
      <c r="C26" s="140">
        <v>0.6</v>
      </c>
      <c r="D26" s="140">
        <v>0.6</v>
      </c>
      <c r="E26" s="161">
        <v>0.6</v>
      </c>
      <c r="F26" s="140">
        <v>0.5</v>
      </c>
      <c r="G26" s="140">
        <v>0.5</v>
      </c>
      <c r="H26" s="140">
        <v>2.8</v>
      </c>
      <c r="I26" s="161">
        <v>5.2</v>
      </c>
      <c r="J26" s="140">
        <v>4.2</v>
      </c>
      <c r="K26" s="140">
        <v>4</v>
      </c>
      <c r="L26" s="140">
        <v>4</v>
      </c>
      <c r="M26" s="161">
        <v>4</v>
      </c>
      <c r="N26" s="140">
        <v>5.1</v>
      </c>
      <c r="O26" s="140">
        <v>4.9</v>
      </c>
      <c r="P26" s="140">
        <v>4.9</v>
      </c>
      <c r="Q26" s="161">
        <v>4.9</v>
      </c>
      <c r="R26" s="140">
        <v>5.3</v>
      </c>
      <c r="S26" s="140">
        <v>6.6</v>
      </c>
      <c r="T26" s="140">
        <v>6.8</v>
      </c>
      <c r="U26" s="161">
        <v>6.8</v>
      </c>
      <c r="V26" s="140">
        <v>1.3</v>
      </c>
      <c r="W26" s="140">
        <v>10</v>
      </c>
      <c r="X26" s="140">
        <v>10</v>
      </c>
      <c r="Y26" s="161">
        <v>10</v>
      </c>
      <c r="Z26" s="140">
        <v>10</v>
      </c>
      <c r="AA26" s="140">
        <v>7.6</v>
      </c>
      <c r="AB26" s="140">
        <v>8.3</v>
      </c>
      <c r="AC26" s="161">
        <v>8.3</v>
      </c>
      <c r="AD26" s="140">
        <v>0.2</v>
      </c>
      <c r="AE26" s="140">
        <v>0.2</v>
      </c>
      <c r="AF26" s="140">
        <v>5</v>
      </c>
      <c r="AG26" s="161">
        <v>8.4</v>
      </c>
      <c r="AH26" s="140">
        <v>4.8</v>
      </c>
      <c r="AI26" s="140">
        <v>0</v>
      </c>
      <c r="AJ26" s="140">
        <v>7.1</v>
      </c>
      <c r="AK26" s="161">
        <v>7.1</v>
      </c>
      <c r="AL26" s="140">
        <v>7.1</v>
      </c>
      <c r="AM26" s="140">
        <v>7.1</v>
      </c>
      <c r="AN26" s="140">
        <v>7.1</v>
      </c>
      <c r="AO26" s="140">
        <v>7.1</v>
      </c>
      <c r="AP26" s="140">
        <v>4.3</v>
      </c>
      <c r="AQ26" s="140">
        <v>5.5</v>
      </c>
      <c r="AR26" s="140">
        <v>5.5</v>
      </c>
      <c r="AS26" s="140">
        <v>5.5</v>
      </c>
      <c r="AT26" s="140">
        <v>4.9</v>
      </c>
      <c r="AU26" s="140">
        <v>4.9</v>
      </c>
      <c r="AV26" s="140">
        <v>4.9</v>
      </c>
      <c r="AW26" s="140">
        <v>4.9</v>
      </c>
    </row>
    <row r="27" ht="12.75"/>
    <row r="28" spans="1:49" s="85" customFormat="1" ht="12.75">
      <c r="A28" s="158"/>
      <c r="B28" s="159">
        <v>36981</v>
      </c>
      <c r="C28" s="159">
        <v>37072</v>
      </c>
      <c r="D28" s="159">
        <v>37164</v>
      </c>
      <c r="E28" s="159">
        <v>37256</v>
      </c>
      <c r="F28" s="159">
        <v>37346</v>
      </c>
      <c r="G28" s="159">
        <v>37437</v>
      </c>
      <c r="H28" s="159">
        <v>37529</v>
      </c>
      <c r="I28" s="159">
        <v>37621</v>
      </c>
      <c r="J28" s="159">
        <v>37711</v>
      </c>
      <c r="K28" s="159">
        <v>37802</v>
      </c>
      <c r="L28" s="159">
        <v>37894</v>
      </c>
      <c r="M28" s="159">
        <v>37986</v>
      </c>
      <c r="N28" s="159">
        <v>38077</v>
      </c>
      <c r="O28" s="159">
        <v>38168</v>
      </c>
      <c r="P28" s="159">
        <v>38260</v>
      </c>
      <c r="Q28" s="159">
        <v>38352</v>
      </c>
      <c r="R28" s="159">
        <v>38442</v>
      </c>
      <c r="S28" s="159">
        <v>38533</v>
      </c>
      <c r="T28" s="159">
        <v>38625</v>
      </c>
      <c r="U28" s="159">
        <v>38717</v>
      </c>
      <c r="V28" s="159">
        <v>38807</v>
      </c>
      <c r="W28" s="159">
        <v>38898</v>
      </c>
      <c r="X28" s="159">
        <v>38990</v>
      </c>
      <c r="Y28" s="159">
        <v>38717</v>
      </c>
      <c r="Z28" s="159">
        <v>39172</v>
      </c>
      <c r="AA28" s="159">
        <v>39263</v>
      </c>
      <c r="AB28" s="159">
        <v>39355</v>
      </c>
      <c r="AC28" s="159">
        <v>39447</v>
      </c>
      <c r="AD28" s="159">
        <v>39538</v>
      </c>
      <c r="AE28" s="159">
        <v>39629</v>
      </c>
      <c r="AF28" s="159">
        <v>39721</v>
      </c>
      <c r="AG28" s="159">
        <v>39813</v>
      </c>
      <c r="AH28" s="159">
        <v>39903</v>
      </c>
      <c r="AI28" s="159">
        <v>39994</v>
      </c>
      <c r="AJ28" s="159">
        <v>40086</v>
      </c>
      <c r="AK28" s="159">
        <v>40178</v>
      </c>
      <c r="AL28" s="159">
        <v>40268</v>
      </c>
      <c r="AM28" s="159">
        <v>40359</v>
      </c>
      <c r="AN28" s="159">
        <v>40451</v>
      </c>
      <c r="AO28" s="159">
        <v>40543</v>
      </c>
      <c r="AP28" s="159">
        <v>40633</v>
      </c>
      <c r="AQ28" s="159">
        <v>40724</v>
      </c>
      <c r="AR28" s="159">
        <v>40816</v>
      </c>
      <c r="AS28" s="159">
        <v>40908</v>
      </c>
      <c r="AT28" s="159">
        <v>40999</v>
      </c>
      <c r="AU28" s="159">
        <v>41090</v>
      </c>
      <c r="AV28" s="159">
        <v>41182</v>
      </c>
      <c r="AW28" s="159">
        <v>41274</v>
      </c>
    </row>
    <row r="29" spans="1:41" ht="12.75">
      <c r="A29" s="146"/>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row>
    <row r="30" spans="1:49" ht="12.75">
      <c r="A30" s="92" t="s">
        <v>243</v>
      </c>
      <c r="B30" s="88">
        <v>98400001</v>
      </c>
      <c r="C30" s="88">
        <v>98400001</v>
      </c>
      <c r="D30" s="88">
        <v>98400001</v>
      </c>
      <c r="E30" s="160">
        <v>98400001</v>
      </c>
      <c r="F30" s="88">
        <v>98400001</v>
      </c>
      <c r="G30" s="88">
        <v>98400001</v>
      </c>
      <c r="H30" s="88">
        <v>98400001</v>
      </c>
      <c r="I30" s="160">
        <v>98400001</v>
      </c>
      <c r="J30" s="88">
        <v>98400001</v>
      </c>
      <c r="K30" s="88">
        <v>108217579</v>
      </c>
      <c r="L30" s="88">
        <v>108217579</v>
      </c>
      <c r="M30" s="160">
        <v>108217579</v>
      </c>
      <c r="N30" s="88">
        <v>108217579</v>
      </c>
      <c r="O30" s="88">
        <v>108217579</v>
      </c>
      <c r="P30" s="88">
        <v>108217579</v>
      </c>
      <c r="Q30" s="160">
        <v>108618775</v>
      </c>
      <c r="R30" s="168">
        <v>108618775</v>
      </c>
      <c r="S30" s="168">
        <v>108618775</v>
      </c>
      <c r="T30" s="168">
        <v>108985250</v>
      </c>
      <c r="U30" s="502">
        <v>108985250</v>
      </c>
      <c r="V30" s="168">
        <v>108985250</v>
      </c>
      <c r="W30" s="168">
        <v>108985250</v>
      </c>
      <c r="X30" s="168">
        <v>109330376</v>
      </c>
      <c r="Y30" s="502">
        <v>109330376</v>
      </c>
      <c r="Z30" s="168">
        <v>109330376</v>
      </c>
      <c r="AA30" s="168">
        <v>109330376</v>
      </c>
      <c r="AB30" s="168">
        <v>109675502</v>
      </c>
      <c r="AC30" s="502">
        <v>109675502</v>
      </c>
      <c r="AD30" s="168">
        <v>109675502</v>
      </c>
      <c r="AE30" s="168">
        <v>109675502</v>
      </c>
      <c r="AF30" s="168">
        <v>109675502</v>
      </c>
      <c r="AG30" s="502">
        <v>104519063</v>
      </c>
      <c r="AH30" s="168">
        <v>104519063</v>
      </c>
      <c r="AI30" s="168">
        <v>104519063</v>
      </c>
      <c r="AJ30" s="168">
        <v>104519063</v>
      </c>
      <c r="AK30" s="502">
        <v>104519063</v>
      </c>
      <c r="AL30" s="168">
        <v>104519063</v>
      </c>
      <c r="AM30" s="168">
        <v>104519063</v>
      </c>
      <c r="AN30" s="168">
        <v>104519063</v>
      </c>
      <c r="AO30" s="168">
        <v>104519063</v>
      </c>
      <c r="AP30" s="168">
        <v>104519063</v>
      </c>
      <c r="AQ30" s="168">
        <v>104519063</v>
      </c>
      <c r="AR30" s="168" t="s">
        <v>567</v>
      </c>
      <c r="AS30" s="168" t="s">
        <v>567</v>
      </c>
      <c r="AT30" s="168" t="s">
        <v>567</v>
      </c>
      <c r="AU30" s="168" t="s">
        <v>567</v>
      </c>
      <c r="AV30" s="168" t="s">
        <v>567</v>
      </c>
      <c r="AW30" s="168" t="s">
        <v>567</v>
      </c>
    </row>
    <row r="31" spans="1:49" ht="12.75">
      <c r="A31" s="92" t="s">
        <v>244</v>
      </c>
      <c r="B31" s="88">
        <v>98023156</v>
      </c>
      <c r="C31" s="88">
        <v>97787857</v>
      </c>
      <c r="D31" s="88">
        <v>97815954</v>
      </c>
      <c r="E31" s="160">
        <v>97816805</v>
      </c>
      <c r="F31" s="88">
        <v>97840717.87777779</v>
      </c>
      <c r="G31" s="88">
        <v>97897411.1098901</v>
      </c>
      <c r="H31" s="88">
        <v>97377795.91304348</v>
      </c>
      <c r="I31" s="160">
        <v>93557882.5</v>
      </c>
      <c r="J31" s="88">
        <v>93321936.77777778</v>
      </c>
      <c r="K31" s="88">
        <v>103731373.04395604</v>
      </c>
      <c r="L31" s="88">
        <v>103943514.13043478</v>
      </c>
      <c r="M31" s="160">
        <v>103928722.07259788</v>
      </c>
      <c r="N31" s="88">
        <v>103789131.52747253</v>
      </c>
      <c r="O31" s="88">
        <v>102810735.3956044</v>
      </c>
      <c r="P31" s="88">
        <v>102874801.93478261</v>
      </c>
      <c r="Q31" s="160">
        <v>103084702.64130434</v>
      </c>
      <c r="R31" s="168">
        <v>103178579.25555556</v>
      </c>
      <c r="S31" s="168">
        <v>101985561.87912089</v>
      </c>
      <c r="T31" s="168">
        <v>101259496.68478261</v>
      </c>
      <c r="U31" s="502">
        <v>101573175.91304348</v>
      </c>
      <c r="V31" s="168">
        <v>101572976</v>
      </c>
      <c r="W31" s="168">
        <v>95022571.98901099</v>
      </c>
      <c r="X31" s="168">
        <v>92112430.42391305</v>
      </c>
      <c r="Y31" s="502">
        <v>92423794</v>
      </c>
      <c r="Z31" s="168">
        <v>92423794</v>
      </c>
      <c r="AA31" s="168">
        <v>92264359.65934066</v>
      </c>
      <c r="AB31" s="168">
        <v>77956034.01086956</v>
      </c>
      <c r="AC31" s="502">
        <v>74907064</v>
      </c>
      <c r="AD31" s="168">
        <v>82047191.03296703</v>
      </c>
      <c r="AE31" s="168">
        <v>90215712</v>
      </c>
      <c r="AF31" s="168">
        <v>90215712</v>
      </c>
      <c r="AG31" s="502">
        <v>90203568</v>
      </c>
      <c r="AH31" s="168">
        <v>82314698</v>
      </c>
      <c r="AI31" s="168">
        <v>88686483</v>
      </c>
      <c r="AJ31" s="168">
        <v>85677874</v>
      </c>
      <c r="AK31" s="502">
        <v>84421774</v>
      </c>
      <c r="AL31" s="168">
        <v>84421196</v>
      </c>
      <c r="AM31" s="168">
        <v>84421196</v>
      </c>
      <c r="AN31" s="168">
        <v>84421196</v>
      </c>
      <c r="AO31" s="168">
        <v>84421196</v>
      </c>
      <c r="AP31" s="168">
        <v>86105240.26666667</v>
      </c>
      <c r="AQ31" s="168">
        <v>86723963.71270718</v>
      </c>
      <c r="AR31" s="168" t="s">
        <v>568</v>
      </c>
      <c r="AS31" s="168" t="s">
        <v>568</v>
      </c>
      <c r="AT31" s="168">
        <v>87676826</v>
      </c>
      <c r="AU31" s="168">
        <v>87982249</v>
      </c>
      <c r="AV31" s="168">
        <v>87982249</v>
      </c>
      <c r="AW31" s="168">
        <v>87982249</v>
      </c>
    </row>
    <row r="32" spans="42:46" ht="12.75">
      <c r="AP32" s="88"/>
      <c r="AQ32" s="88"/>
      <c r="AR32" s="88"/>
      <c r="AS32" s="88"/>
      <c r="AT32" s="88"/>
    </row>
    <row r="33" ht="51">
      <c r="A33" s="98" t="s">
        <v>440</v>
      </c>
    </row>
    <row r="34" ht="12.75"/>
  </sheetData>
  <sheetProtection/>
  <printOptions/>
  <pageMargins left="0.75" right="0.75" top="1" bottom="1" header="0.5" footer="0.5"/>
  <pageSetup fitToHeight="1" fitToWidth="1" horizontalDpi="300" verticalDpi="300" orientation="landscape" paperSize="9" scale="41" r:id="rId1"/>
</worksheet>
</file>

<file path=xl/worksheets/sheet3.xml><?xml version="1.0" encoding="utf-8"?>
<worksheet xmlns="http://schemas.openxmlformats.org/spreadsheetml/2006/main" xmlns:r="http://schemas.openxmlformats.org/officeDocument/2006/relationships">
  <sheetPr>
    <tabColor indexed="57"/>
    <pageSetUpPr fitToPage="1"/>
  </sheetPr>
  <dimension ref="A2:BW29"/>
  <sheetViews>
    <sheetView zoomScalePageLayoutView="0" workbookViewId="0" topLeftCell="A1">
      <pane xSplit="21" ySplit="3" topLeftCell="BO4" activePane="bottomRight" state="frozen"/>
      <selection pane="topLeft" activeCell="A1" sqref="A1"/>
      <selection pane="topRight" activeCell="V1" sqref="V1"/>
      <selection pane="bottomLeft" activeCell="A4" sqref="A4"/>
      <selection pane="bottomRight" activeCell="A2" sqref="A2"/>
    </sheetView>
  </sheetViews>
  <sheetFormatPr defaultColWidth="14.28125" defaultRowHeight="12.75" zeroHeight="1" outlineLevelCol="1"/>
  <cols>
    <col min="1" max="1" width="45.28125" style="15" customWidth="1"/>
    <col min="2" max="2" width="9.8515625" style="15" hidden="1" customWidth="1" outlineLevel="1"/>
    <col min="3" max="21" width="0" style="15" hidden="1" customWidth="1" outlineLevel="1"/>
    <col min="22" max="22" width="9.140625" style="15" customWidth="1" collapsed="1"/>
    <col min="23" max="44" width="9.140625" style="15" customWidth="1"/>
    <col min="45" max="45" width="13.00390625" style="263" customWidth="1"/>
    <col min="46" max="46" width="9.140625" style="15" customWidth="1"/>
    <col min="47" max="47" width="9.140625" style="263" customWidth="1"/>
    <col min="48" max="48" width="9.140625" style="15" customWidth="1"/>
    <col min="49" max="49" width="9.140625" style="263" customWidth="1"/>
    <col min="50" max="52" width="9.140625" style="15" customWidth="1"/>
    <col min="53" max="53" width="9.140625" style="263" customWidth="1"/>
    <col min="54" max="54" width="11.421875" style="263" customWidth="1"/>
    <col min="55" max="55" width="9.140625" style="15" customWidth="1"/>
    <col min="56" max="56" width="14.28125" style="15" customWidth="1"/>
    <col min="57" max="57" width="14.28125" style="368" customWidth="1"/>
    <col min="58" max="16384" width="14.28125" style="15" customWidth="1"/>
  </cols>
  <sheetData>
    <row r="1" ht="12.75"/>
    <row r="2" spans="1:75" s="253" customFormat="1" ht="25.5" customHeight="1">
      <c r="A2" s="251" t="s">
        <v>544</v>
      </c>
      <c r="B2" s="251" t="s">
        <v>2</v>
      </c>
      <c r="C2" s="251" t="s">
        <v>3</v>
      </c>
      <c r="D2" s="251" t="s">
        <v>4</v>
      </c>
      <c r="E2" s="251" t="s">
        <v>5</v>
      </c>
      <c r="F2" s="252" t="s">
        <v>6</v>
      </c>
      <c r="G2" s="251" t="s">
        <v>12</v>
      </c>
      <c r="H2" s="251" t="s">
        <v>13</v>
      </c>
      <c r="I2" s="251" t="s">
        <v>14</v>
      </c>
      <c r="J2" s="251" t="s">
        <v>15</v>
      </c>
      <c r="K2" s="252" t="s">
        <v>16</v>
      </c>
      <c r="L2" s="251" t="s">
        <v>17</v>
      </c>
      <c r="M2" s="251" t="s">
        <v>18</v>
      </c>
      <c r="N2" s="251" t="s">
        <v>19</v>
      </c>
      <c r="O2" s="251" t="s">
        <v>20</v>
      </c>
      <c r="P2" s="252" t="s">
        <v>21</v>
      </c>
      <c r="Q2" s="251" t="s">
        <v>22</v>
      </c>
      <c r="R2" s="251" t="s">
        <v>23</v>
      </c>
      <c r="S2" s="251" t="s">
        <v>24</v>
      </c>
      <c r="T2" s="251" t="s">
        <v>25</v>
      </c>
      <c r="U2" s="252" t="s">
        <v>26</v>
      </c>
      <c r="V2" s="251" t="s">
        <v>27</v>
      </c>
      <c r="W2" s="251" t="s">
        <v>28</v>
      </c>
      <c r="X2" s="251" t="s">
        <v>29</v>
      </c>
      <c r="Y2" s="251" t="s">
        <v>30</v>
      </c>
      <c r="Z2" s="252" t="s">
        <v>31</v>
      </c>
      <c r="AA2" s="251" t="s">
        <v>32</v>
      </c>
      <c r="AB2" s="251" t="s">
        <v>33</v>
      </c>
      <c r="AC2" s="251" t="s">
        <v>34</v>
      </c>
      <c r="AD2" s="251" t="s">
        <v>271</v>
      </c>
      <c r="AE2" s="252" t="s">
        <v>272</v>
      </c>
      <c r="AF2" s="251" t="s">
        <v>274</v>
      </c>
      <c r="AG2" s="251" t="s">
        <v>276</v>
      </c>
      <c r="AH2" s="251" t="s">
        <v>278</v>
      </c>
      <c r="AI2" s="251" t="s">
        <v>280</v>
      </c>
      <c r="AJ2" s="252" t="s">
        <v>281</v>
      </c>
      <c r="AK2" s="251" t="s">
        <v>289</v>
      </c>
      <c r="AL2" s="251" t="s">
        <v>290</v>
      </c>
      <c r="AM2" s="251" t="s">
        <v>291</v>
      </c>
      <c r="AN2" s="251" t="s">
        <v>292</v>
      </c>
      <c r="AO2" s="252" t="s">
        <v>293</v>
      </c>
      <c r="AP2" s="251" t="s">
        <v>329</v>
      </c>
      <c r="AQ2" s="251" t="s">
        <v>330</v>
      </c>
      <c r="AR2" s="251" t="s">
        <v>331</v>
      </c>
      <c r="AS2" s="285" t="s">
        <v>490</v>
      </c>
      <c r="AT2" s="251" t="s">
        <v>332</v>
      </c>
      <c r="AU2" s="285" t="s">
        <v>477</v>
      </c>
      <c r="AV2" s="252" t="s">
        <v>333</v>
      </c>
      <c r="AW2" s="271" t="s">
        <v>458</v>
      </c>
      <c r="AX2" s="251" t="s">
        <v>448</v>
      </c>
      <c r="AY2" s="251" t="s">
        <v>451</v>
      </c>
      <c r="AZ2" s="251" t="s">
        <v>453</v>
      </c>
      <c r="BA2" s="264" t="s">
        <v>459</v>
      </c>
      <c r="BB2" s="264" t="s">
        <v>491</v>
      </c>
      <c r="BC2" s="251" t="s">
        <v>454</v>
      </c>
      <c r="BD2" s="362" t="s">
        <v>457</v>
      </c>
      <c r="BE2" s="361" t="s">
        <v>492</v>
      </c>
      <c r="BF2" s="6" t="s">
        <v>553</v>
      </c>
      <c r="BG2" s="6" t="s">
        <v>560</v>
      </c>
      <c r="BH2" s="6" t="s">
        <v>493</v>
      </c>
      <c r="BI2" s="6" t="s">
        <v>582</v>
      </c>
      <c r="BJ2" s="6" t="s">
        <v>494</v>
      </c>
      <c r="BK2" s="6" t="s">
        <v>573</v>
      </c>
      <c r="BL2" s="6" t="s">
        <v>495</v>
      </c>
      <c r="BM2" s="6" t="s">
        <v>554</v>
      </c>
      <c r="BN2" s="6" t="s">
        <v>614</v>
      </c>
      <c r="BO2" s="6" t="s">
        <v>561</v>
      </c>
      <c r="BP2" s="6" t="s">
        <v>572</v>
      </c>
      <c r="BQ2" s="6" t="s">
        <v>604</v>
      </c>
      <c r="BR2" s="6" t="s">
        <v>571</v>
      </c>
      <c r="BS2" s="6" t="s">
        <v>595</v>
      </c>
      <c r="BT2" s="6" t="s">
        <v>605</v>
      </c>
      <c r="BU2" s="6" t="s">
        <v>617</v>
      </c>
      <c r="BV2" s="6" t="s">
        <v>619</v>
      </c>
      <c r="BW2" s="6" t="s">
        <v>620</v>
      </c>
    </row>
    <row r="3" spans="1:75" ht="12.75" customHeight="1">
      <c r="A3" s="131" t="s">
        <v>524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265"/>
      <c r="AT3" s="3"/>
      <c r="AU3" s="265"/>
      <c r="AV3" s="3"/>
      <c r="AW3" s="265"/>
      <c r="AX3" s="3"/>
      <c r="AY3" s="3"/>
      <c r="AZ3" s="3"/>
      <c r="BA3" s="265"/>
      <c r="BB3" s="265"/>
      <c r="BC3" s="3"/>
      <c r="BD3" s="3"/>
      <c r="BQ3" s="171"/>
      <c r="BR3" s="3"/>
      <c r="BS3" s="3"/>
      <c r="BT3" s="3"/>
      <c r="BU3" s="3"/>
      <c r="BV3" s="3"/>
      <c r="BW3" s="3"/>
    </row>
    <row r="4" spans="1:75" ht="12.75">
      <c r="A4" s="22" t="s">
        <v>7</v>
      </c>
      <c r="B4" s="59">
        <v>1063.9860869565218</v>
      </c>
      <c r="C4" s="59">
        <v>888.4753820033956</v>
      </c>
      <c r="D4" s="59">
        <v>1026.292372881356</v>
      </c>
      <c r="E4" s="59">
        <v>1127.3896011396012</v>
      </c>
      <c r="F4" s="13">
        <v>4100.415357766143</v>
      </c>
      <c r="G4" s="59">
        <v>1048.128591954023</v>
      </c>
      <c r="H4" s="59">
        <v>1082.432942954288</v>
      </c>
      <c r="I4" s="59">
        <v>1035.9847573204975</v>
      </c>
      <c r="J4" s="59">
        <v>1348.3597662771285</v>
      </c>
      <c r="K4" s="13">
        <v>4494.79457364341</v>
      </c>
      <c r="L4" s="59">
        <v>1492.4327897752312</v>
      </c>
      <c r="M4" s="59">
        <v>1603.9221014492753</v>
      </c>
      <c r="N4" s="59">
        <v>1542.2607189259418</v>
      </c>
      <c r="O4" s="59">
        <v>2081.1659807956103</v>
      </c>
      <c r="P4" s="13">
        <v>6702.486631016042</v>
      </c>
      <c r="Q4" s="59">
        <v>2272.8701923076924</v>
      </c>
      <c r="R4" s="59">
        <v>2026.1681796464406</v>
      </c>
      <c r="S4" s="59">
        <v>2221.76326129666</v>
      </c>
      <c r="T4" s="59">
        <v>3194.549763033175</v>
      </c>
      <c r="U4" s="13">
        <v>9653.652517275419</v>
      </c>
      <c r="V4" s="59">
        <v>3054.7005347593586</v>
      </c>
      <c r="W4" s="59">
        <v>2748.6333837619763</v>
      </c>
      <c r="X4" s="59">
        <v>2911.32703777336</v>
      </c>
      <c r="Y4" s="59">
        <v>3555.8168083097257</v>
      </c>
      <c r="Z4" s="13">
        <v>12294.261392088134</v>
      </c>
      <c r="AA4" s="59">
        <v>3774.4281663516067</v>
      </c>
      <c r="AB4" s="59">
        <v>3312.1179245283015</v>
      </c>
      <c r="AC4" s="59">
        <v>3527.5</v>
      </c>
      <c r="AD4" s="59">
        <f aca="true" t="shared" si="0" ref="AD4:AD12">AE4-AB4-AA4-AC4</f>
        <v>3120.3957143457446</v>
      </c>
      <c r="AE4" s="13">
        <v>13734.441805225653</v>
      </c>
      <c r="AF4" s="59">
        <v>2676.6995329527763</v>
      </c>
      <c r="AG4" s="59">
        <v>3291.1</v>
      </c>
      <c r="AH4" s="59">
        <v>3737.588652482269</v>
      </c>
      <c r="AI4" s="59">
        <v>4507.163323782235</v>
      </c>
      <c r="AJ4" s="13">
        <v>14113.2</v>
      </c>
      <c r="AK4" s="59">
        <v>4538.7</v>
      </c>
      <c r="AL4" s="59">
        <v>5803.7</v>
      </c>
      <c r="AM4" s="59">
        <v>6211.6</v>
      </c>
      <c r="AN4" s="59">
        <v>4275.1</v>
      </c>
      <c r="AO4" s="13">
        <v>20576.7</v>
      </c>
      <c r="AP4" s="59">
        <v>2794.1</v>
      </c>
      <c r="AQ4" s="232">
        <v>3323.4</v>
      </c>
      <c r="AR4" s="232">
        <v>4857.7</v>
      </c>
      <c r="AS4" s="267">
        <v>10679.595381427818</v>
      </c>
      <c r="AT4" s="232">
        <v>5348</v>
      </c>
      <c r="AU4" s="267">
        <v>5408.887070376431</v>
      </c>
      <c r="AV4" s="231">
        <v>15983</v>
      </c>
      <c r="AW4" s="272">
        <v>16088.48245180425</v>
      </c>
      <c r="AX4" s="236">
        <v>4460</v>
      </c>
      <c r="AY4" s="236">
        <v>4851.49005090236</v>
      </c>
      <c r="AZ4" s="236">
        <v>5404</v>
      </c>
      <c r="BA4" s="266">
        <v>5441</v>
      </c>
      <c r="BB4" s="266">
        <f>BD4-BC4</f>
        <v>14852.767424478487</v>
      </c>
      <c r="BC4" s="236">
        <v>5795.819793205318</v>
      </c>
      <c r="BD4" s="363">
        <v>20648.587217683806</v>
      </c>
      <c r="BE4" s="368">
        <v>4511.534500514934</v>
      </c>
      <c r="BF4" s="15">
        <v>4876.66358167515</v>
      </c>
      <c r="BG4" s="15">
        <v>5440.571559213536</v>
      </c>
      <c r="BH4" s="15">
        <v>5804.377154111276</v>
      </c>
      <c r="BI4" s="15">
        <v>5804.377154111276</v>
      </c>
      <c r="BJ4" s="231">
        <v>20656.938971648244</v>
      </c>
      <c r="BK4" s="473">
        <v>20656.938971648244</v>
      </c>
      <c r="BL4" s="15">
        <v>5905.181043129389</v>
      </c>
      <c r="BM4" s="15">
        <v>7019.820501730103</v>
      </c>
      <c r="BN4" s="15">
        <v>7020</v>
      </c>
      <c r="BO4" s="15">
        <v>7079.4964028776985</v>
      </c>
      <c r="BP4" s="15">
        <v>7079</v>
      </c>
      <c r="BQ4" s="15">
        <v>6604.124168514412</v>
      </c>
      <c r="BR4" s="503">
        <v>26596.48581383773</v>
      </c>
      <c r="BS4" s="15">
        <v>5952.80353200883</v>
      </c>
      <c r="BT4" s="15">
        <v>5745</v>
      </c>
      <c r="BU4" s="15">
        <v>6325.574204946995</v>
      </c>
      <c r="BV4" s="15">
        <v>6533</v>
      </c>
      <c r="BW4" s="503">
        <v>24521</v>
      </c>
    </row>
    <row r="5" spans="1:75" ht="12.75">
      <c r="A5" s="22" t="s">
        <v>8</v>
      </c>
      <c r="B5" s="59">
        <v>71.77043478260869</v>
      </c>
      <c r="C5" s="59">
        <v>8.859083191850594</v>
      </c>
      <c r="D5" s="59">
        <v>39.09957627118644</v>
      </c>
      <c r="E5" s="59">
        <v>134.73290598290598</v>
      </c>
      <c r="F5" s="13">
        <v>251.82897033158812</v>
      </c>
      <c r="G5" s="59">
        <v>102.41379310344828</v>
      </c>
      <c r="H5" s="59">
        <v>172.73894975443898</v>
      </c>
      <c r="I5" s="59">
        <v>133.7585238668271</v>
      </c>
      <c r="J5" s="59">
        <v>88.45993322203672</v>
      </c>
      <c r="K5" s="13">
        <v>499.1356589147286</v>
      </c>
      <c r="L5" s="59">
        <v>212.974878801234</v>
      </c>
      <c r="M5" s="59">
        <v>105.11322463768114</v>
      </c>
      <c r="N5" s="59">
        <v>228.51883932438287</v>
      </c>
      <c r="O5" s="59">
        <v>247.93324188385918</v>
      </c>
      <c r="P5" s="13">
        <v>795.5481283422458</v>
      </c>
      <c r="Q5" s="59">
        <v>416.3942307692308</v>
      </c>
      <c r="R5" s="59">
        <v>347.19063545150505</v>
      </c>
      <c r="S5" s="59">
        <v>522.5</v>
      </c>
      <c r="T5" s="59">
        <v>482.73828330700366</v>
      </c>
      <c r="U5" s="13">
        <v>1763.7216189536032</v>
      </c>
      <c r="V5" s="59">
        <v>638.0053475935829</v>
      </c>
      <c r="W5" s="59">
        <v>537.6752395360564</v>
      </c>
      <c r="X5" s="59">
        <v>478.93638170974157</v>
      </c>
      <c r="Y5" s="59">
        <v>498.80075542965056</v>
      </c>
      <c r="Z5" s="13">
        <v>2142.8943415122685</v>
      </c>
      <c r="AA5" s="59">
        <v>884</v>
      </c>
      <c r="AB5" s="59">
        <v>635</v>
      </c>
      <c r="AC5" s="59">
        <v>588.2</v>
      </c>
      <c r="AD5" s="59">
        <f t="shared" si="0"/>
        <v>399.79999999999995</v>
      </c>
      <c r="AE5" s="13">
        <v>2507</v>
      </c>
      <c r="AF5" s="59">
        <v>566.6839647119875</v>
      </c>
      <c r="AG5" s="59">
        <v>670.5</v>
      </c>
      <c r="AH5" s="59">
        <v>735.4064375340972</v>
      </c>
      <c r="AI5" s="59">
        <v>736.3896848137535</v>
      </c>
      <c r="AJ5" s="13">
        <v>2698.6</v>
      </c>
      <c r="AK5" s="59">
        <v>586.6</v>
      </c>
      <c r="AL5" s="59">
        <v>777.1</v>
      </c>
      <c r="AM5" s="59">
        <v>478.1</v>
      </c>
      <c r="AN5" s="59">
        <v>257.5</v>
      </c>
      <c r="AO5" s="13">
        <v>2045.1</v>
      </c>
      <c r="AP5" s="59">
        <v>475.4</v>
      </c>
      <c r="AQ5" s="232">
        <v>590</v>
      </c>
      <c r="AR5" s="232">
        <v>516.9</v>
      </c>
      <c r="AS5" s="267">
        <v>1528.616531815383</v>
      </c>
      <c r="AT5" s="232">
        <v>691</v>
      </c>
      <c r="AU5" s="267">
        <v>643.9934533551555</v>
      </c>
      <c r="AV5" s="231">
        <v>2256</v>
      </c>
      <c r="AW5" s="272">
        <v>2172.6099851705385</v>
      </c>
      <c r="AX5" s="232">
        <v>670</v>
      </c>
      <c r="AY5" s="232">
        <v>573.5631652012956</v>
      </c>
      <c r="AZ5" s="232">
        <v>747</v>
      </c>
      <c r="BA5" s="267">
        <v>689</v>
      </c>
      <c r="BB5" s="267">
        <f aca="true" t="shared" si="1" ref="BB5:BB12">BD5-BC5</f>
        <v>1809.6512324231505</v>
      </c>
      <c r="BC5" s="232">
        <v>685.1157065484983</v>
      </c>
      <c r="BD5" s="363">
        <v>2494.766938971649</v>
      </c>
      <c r="BE5" s="368">
        <v>611.73017507724</v>
      </c>
      <c r="BF5" s="15">
        <v>511.6982878297085</v>
      </c>
      <c r="BG5" s="15">
        <v>688.7882944673069</v>
      </c>
      <c r="BH5" s="15">
        <v>680.0246184145741</v>
      </c>
      <c r="BI5" s="15">
        <v>689.3106843919251</v>
      </c>
      <c r="BJ5" s="231">
        <v>2489.798173954829</v>
      </c>
      <c r="BK5" s="473">
        <v>2527.8135511773185</v>
      </c>
      <c r="BL5" s="15">
        <v>889.0128707076732</v>
      </c>
      <c r="BM5" s="15">
        <v>839.4733996539793</v>
      </c>
      <c r="BN5" s="15">
        <v>877</v>
      </c>
      <c r="BO5" s="15">
        <v>652.589928057554</v>
      </c>
      <c r="BP5" s="15">
        <v>666</v>
      </c>
      <c r="BQ5" s="15">
        <v>593.9499489018305</v>
      </c>
      <c r="BR5" s="503">
        <v>3001.6027874564456</v>
      </c>
      <c r="BS5" s="15">
        <v>694.9006622516557</v>
      </c>
      <c r="BT5" s="15">
        <v>329</v>
      </c>
      <c r="BU5" s="15">
        <v>767.0803886925794</v>
      </c>
      <c r="BV5" s="15">
        <v>605</v>
      </c>
      <c r="BW5" s="503">
        <v>2391</v>
      </c>
    </row>
    <row r="6" spans="1:75" ht="12.75">
      <c r="A6" s="21" t="s">
        <v>9</v>
      </c>
      <c r="B6" s="60">
        <v>10.605217391304349</v>
      </c>
      <c r="C6" s="60">
        <v>-46.97792869269949</v>
      </c>
      <c r="D6" s="60">
        <v>-25.314265536723166</v>
      </c>
      <c r="E6" s="60">
        <v>52.628205128205124</v>
      </c>
      <c r="F6" s="14">
        <v>-11.089005235602095</v>
      </c>
      <c r="G6" s="60">
        <v>43.771551724137936</v>
      </c>
      <c r="H6" s="60">
        <v>109.463543634303</v>
      </c>
      <c r="I6" s="60">
        <v>67.47292418772562</v>
      </c>
      <c r="J6" s="60">
        <v>-3.3931552587646077</v>
      </c>
      <c r="K6" s="14">
        <v>221.58527131782947</v>
      </c>
      <c r="L6" s="60">
        <v>124.05024239753195</v>
      </c>
      <c r="M6" s="60">
        <v>1.322463768115942</v>
      </c>
      <c r="N6" s="60">
        <v>123.98873971416198</v>
      </c>
      <c r="O6" s="60">
        <v>118.89803383630544</v>
      </c>
      <c r="P6" s="14">
        <v>370.1916221033868</v>
      </c>
      <c r="Q6" s="60">
        <v>297.21634615384613</v>
      </c>
      <c r="R6" s="60">
        <v>227.8260869565217</v>
      </c>
      <c r="S6" s="60">
        <v>400.9970530451867</v>
      </c>
      <c r="T6" s="60">
        <v>303.4386519220642</v>
      </c>
      <c r="U6" s="14">
        <v>1227.8923988153997</v>
      </c>
      <c r="V6" s="60">
        <v>494.2245989304813</v>
      </c>
      <c r="W6" s="60">
        <v>390.4437720625315</v>
      </c>
      <c r="X6" s="60">
        <v>347.2216699801193</v>
      </c>
      <c r="Y6" s="60">
        <v>305.61850802644005</v>
      </c>
      <c r="Z6" s="14">
        <v>1524.4667000500751</v>
      </c>
      <c r="AA6" s="60">
        <v>733.3034026465028</v>
      </c>
      <c r="AB6" s="60">
        <v>482.6698113207547</v>
      </c>
      <c r="AC6" s="60">
        <v>438.7</v>
      </c>
      <c r="AD6" s="60">
        <f t="shared" si="0"/>
        <v>220.86122783796822</v>
      </c>
      <c r="AE6" s="14">
        <v>1875.5344418052257</v>
      </c>
      <c r="AF6" s="60">
        <v>389.72496107939804</v>
      </c>
      <c r="AG6" s="60">
        <v>496.7</v>
      </c>
      <c r="AH6" s="60">
        <v>523.7315875613747</v>
      </c>
      <c r="AI6" s="60">
        <v>532.3782234957021</v>
      </c>
      <c r="AJ6" s="14">
        <v>1934.2</v>
      </c>
      <c r="AK6" s="60">
        <v>388.6</v>
      </c>
      <c r="AL6" s="60">
        <v>561.7</v>
      </c>
      <c r="AM6" s="60">
        <v>233.1</v>
      </c>
      <c r="AN6" s="60">
        <v>32</v>
      </c>
      <c r="AO6" s="14">
        <v>1160.7</v>
      </c>
      <c r="AP6" s="60">
        <v>297.7</v>
      </c>
      <c r="AQ6" s="237">
        <v>375.1</v>
      </c>
      <c r="AR6" s="237">
        <v>215.9</v>
      </c>
      <c r="AS6" s="268">
        <v>857.1630261809162</v>
      </c>
      <c r="AT6" s="237">
        <v>306</v>
      </c>
      <c r="AU6" s="268">
        <v>291.52209492635023</v>
      </c>
      <c r="AV6" s="238">
        <v>1202</v>
      </c>
      <c r="AW6" s="273">
        <v>1148.6851211072665</v>
      </c>
      <c r="AX6" s="232">
        <v>306</v>
      </c>
      <c r="AY6" s="232">
        <v>275.47431744562704</v>
      </c>
      <c r="AZ6" s="232">
        <v>439</v>
      </c>
      <c r="BA6" s="267">
        <v>382</v>
      </c>
      <c r="BB6" s="267">
        <f t="shared" si="1"/>
        <v>846.6283679375259</v>
      </c>
      <c r="BC6" s="232">
        <v>309.52732644017726</v>
      </c>
      <c r="BD6" s="364">
        <v>1156.1556943777032</v>
      </c>
      <c r="BE6" s="368">
        <v>247.74459320288364</v>
      </c>
      <c r="BF6" s="15">
        <v>214</v>
      </c>
      <c r="BG6" s="15">
        <v>381.60951074531323</v>
      </c>
      <c r="BH6" s="15">
        <v>301.9547021171837</v>
      </c>
      <c r="BI6" s="15">
        <v>309.4288527818809</v>
      </c>
      <c r="BJ6" s="238">
        <v>1148.765016818837</v>
      </c>
      <c r="BK6" s="474">
        <v>1179.6155694377703</v>
      </c>
      <c r="BL6" s="15">
        <v>548.4210953816953</v>
      </c>
      <c r="BM6" s="15">
        <v>424</v>
      </c>
      <c r="BN6" s="15">
        <v>430</v>
      </c>
      <c r="BO6" s="15">
        <v>260.8787255909558</v>
      </c>
      <c r="BP6" s="15">
        <v>270</v>
      </c>
      <c r="BQ6" s="15">
        <v>51.8447279513033</v>
      </c>
      <c r="BR6" s="504">
        <v>1260.238924838228</v>
      </c>
      <c r="BS6" s="15">
        <v>367.96026490066225</v>
      </c>
      <c r="BT6" s="15">
        <v>5</v>
      </c>
      <c r="BU6" s="15">
        <v>455.13250883392226</v>
      </c>
      <c r="BV6" s="15">
        <v>151</v>
      </c>
      <c r="BW6" s="504">
        <v>978</v>
      </c>
    </row>
    <row r="7" spans="1:75" ht="12.75">
      <c r="A7" s="22" t="s">
        <v>10</v>
      </c>
      <c r="B7" s="59">
        <v>52.51826086956522</v>
      </c>
      <c r="C7" s="59">
        <v>-55.79966044142615</v>
      </c>
      <c r="D7" s="59">
        <v>25.15183615819209</v>
      </c>
      <c r="E7" s="59">
        <v>-3.7286324786324783</v>
      </c>
      <c r="F7" s="13">
        <v>16.551483420593367</v>
      </c>
      <c r="G7" s="59">
        <v>5.897988505747127</v>
      </c>
      <c r="H7" s="59">
        <v>-6.766150358896865</v>
      </c>
      <c r="I7" s="59">
        <v>14.52065784195748</v>
      </c>
      <c r="J7" s="59">
        <v>-22.36644407345576</v>
      </c>
      <c r="K7" s="13">
        <v>-7.317829457364341</v>
      </c>
      <c r="L7" s="59">
        <v>39.850154252974875</v>
      </c>
      <c r="M7" s="59">
        <v>43.70018115942029</v>
      </c>
      <c r="N7" s="59">
        <v>-24.382849718492853</v>
      </c>
      <c r="O7" s="59">
        <v>13.781435756744397</v>
      </c>
      <c r="P7" s="13">
        <v>71.63547237076648</v>
      </c>
      <c r="Q7" s="59">
        <v>-20.129807692307693</v>
      </c>
      <c r="R7" s="59">
        <v>51.92546583850932</v>
      </c>
      <c r="S7" s="59">
        <v>-19.101178781925345</v>
      </c>
      <c r="T7" s="59">
        <v>-41.84834123222748</v>
      </c>
      <c r="U7" s="13">
        <v>-25.44422507403751</v>
      </c>
      <c r="V7" s="59">
        <v>47.93048128342246</v>
      </c>
      <c r="W7" s="59">
        <v>29.475542107917292</v>
      </c>
      <c r="X7" s="59">
        <v>39.731610337972164</v>
      </c>
      <c r="Y7" s="59">
        <v>44.17374881964117</v>
      </c>
      <c r="Z7" s="13">
        <v>161.0315473209815</v>
      </c>
      <c r="AA7" s="59">
        <v>125.30245746691871</v>
      </c>
      <c r="AB7" s="59">
        <v>62.306603773584904</v>
      </c>
      <c r="AC7" s="59">
        <v>-59.7</v>
      </c>
      <c r="AD7" s="59">
        <f t="shared" si="0"/>
        <v>50.71326655047025</v>
      </c>
      <c r="AE7" s="13">
        <v>178.62232779097386</v>
      </c>
      <c r="AF7" s="59">
        <v>-8.303061754021797</v>
      </c>
      <c r="AG7" s="59">
        <v>189</v>
      </c>
      <c r="AH7" s="59">
        <v>-26.73213311511184</v>
      </c>
      <c r="AI7" s="59">
        <v>-67.0487106017192</v>
      </c>
      <c r="AJ7" s="13">
        <v>90.3</v>
      </c>
      <c r="AK7" s="59">
        <v>-7.5</v>
      </c>
      <c r="AL7" s="59">
        <v>-236.7</v>
      </c>
      <c r="AM7" s="59">
        <v>265.4</v>
      </c>
      <c r="AN7" s="59">
        <v>65.9</v>
      </c>
      <c r="AO7" s="13">
        <v>93.2</v>
      </c>
      <c r="AP7" s="59">
        <v>649.9</v>
      </c>
      <c r="AQ7" s="232">
        <v>-492.7</v>
      </c>
      <c r="AR7" s="232">
        <v>-104.7</v>
      </c>
      <c r="AS7" s="267">
        <v>102.01085767897226</v>
      </c>
      <c r="AT7" s="232"/>
      <c r="AU7" s="267">
        <v>196.2738679759956</v>
      </c>
      <c r="AV7" s="231"/>
      <c r="AW7" s="272">
        <v>298.2847256549679</v>
      </c>
      <c r="AX7" s="237">
        <v>121</v>
      </c>
      <c r="AY7" s="237">
        <v>357.4132346136048</v>
      </c>
      <c r="AZ7" s="237">
        <v>-189</v>
      </c>
      <c r="BA7" s="268">
        <v>-189</v>
      </c>
      <c r="BB7" s="268">
        <f t="shared" si="1"/>
        <v>285.0393504240259</v>
      </c>
      <c r="BC7" s="237">
        <v>115.66223535204333</v>
      </c>
      <c r="BD7" s="363">
        <v>400.7015857760692</v>
      </c>
      <c r="BE7" s="368">
        <v>122.37384140061792</v>
      </c>
      <c r="BF7" s="15">
        <v>359</v>
      </c>
      <c r="BG7" s="15">
        <v>-189.3461362597165</v>
      </c>
      <c r="BH7" s="15">
        <v>94.34761201378632</v>
      </c>
      <c r="BI7" s="15">
        <v>101.8217626784835</v>
      </c>
      <c r="BJ7" s="231">
        <v>379.8990869774147</v>
      </c>
      <c r="BK7" s="473">
        <v>410.7496395963479</v>
      </c>
      <c r="BL7" s="15">
        <v>-142.52256770310933</v>
      </c>
      <c r="BM7" s="15">
        <v>55</v>
      </c>
      <c r="BN7" s="15">
        <v>62</v>
      </c>
      <c r="BO7" s="15">
        <v>94.15210688591984</v>
      </c>
      <c r="BP7" s="15">
        <v>103</v>
      </c>
      <c r="BQ7" s="15">
        <v>229.55654101995566</v>
      </c>
      <c r="BR7" s="503">
        <v>273.03135888501737</v>
      </c>
      <c r="BS7" s="15">
        <v>20.728476821192054</v>
      </c>
      <c r="BT7" s="15">
        <v>80</v>
      </c>
      <c r="BU7" s="15">
        <v>21.46643109540636</v>
      </c>
      <c r="BV7" s="15">
        <v>86</v>
      </c>
      <c r="BW7" s="503">
        <v>207</v>
      </c>
    </row>
    <row r="8" spans="1:75" s="1" customFormat="1" ht="12.75">
      <c r="A8" s="325" t="s">
        <v>455</v>
      </c>
      <c r="B8" s="223"/>
      <c r="C8" s="223"/>
      <c r="D8" s="223"/>
      <c r="E8" s="223"/>
      <c r="F8" s="321"/>
      <c r="G8" s="223"/>
      <c r="H8" s="223"/>
      <c r="I8" s="223"/>
      <c r="J8" s="223"/>
      <c r="K8" s="321"/>
      <c r="L8" s="223"/>
      <c r="M8" s="223"/>
      <c r="N8" s="223"/>
      <c r="O8" s="223"/>
      <c r="P8" s="321"/>
      <c r="Q8" s="223"/>
      <c r="R8" s="223"/>
      <c r="S8" s="223"/>
      <c r="T8" s="223"/>
      <c r="U8" s="321"/>
      <c r="V8" s="223"/>
      <c r="W8" s="223"/>
      <c r="X8" s="223"/>
      <c r="Y8" s="223"/>
      <c r="Z8" s="321"/>
      <c r="AA8" s="223"/>
      <c r="AB8" s="223"/>
      <c r="AC8" s="223"/>
      <c r="AD8" s="223"/>
      <c r="AE8" s="321"/>
      <c r="AF8" s="223"/>
      <c r="AG8" s="223"/>
      <c r="AH8" s="223"/>
      <c r="AI8" s="223"/>
      <c r="AJ8" s="321"/>
      <c r="AK8" s="223"/>
      <c r="AL8" s="223"/>
      <c r="AM8" s="223"/>
      <c r="AN8" s="223"/>
      <c r="AO8" s="321"/>
      <c r="AP8" s="223"/>
      <c r="AQ8" s="428"/>
      <c r="AR8" s="428"/>
      <c r="AS8" s="429"/>
      <c r="AT8" s="428"/>
      <c r="AU8" s="429"/>
      <c r="AV8" s="323"/>
      <c r="AW8" s="430"/>
      <c r="AX8" s="428"/>
      <c r="AY8" s="428"/>
      <c r="AZ8" s="428"/>
      <c r="BA8" s="429"/>
      <c r="BB8" s="431"/>
      <c r="BD8" s="432"/>
      <c r="BE8" s="352"/>
      <c r="BJ8" s="323"/>
      <c r="BK8" s="428"/>
      <c r="BR8" s="318"/>
      <c r="BW8" s="318"/>
    </row>
    <row r="9" spans="1:75" s="1" customFormat="1" ht="12.75">
      <c r="A9" s="426" t="s">
        <v>409</v>
      </c>
      <c r="B9" s="223"/>
      <c r="C9" s="223"/>
      <c r="D9" s="223"/>
      <c r="E9" s="223"/>
      <c r="F9" s="321"/>
      <c r="G9" s="223"/>
      <c r="H9" s="223"/>
      <c r="I9" s="223"/>
      <c r="J9" s="223"/>
      <c r="K9" s="321"/>
      <c r="L9" s="223"/>
      <c r="M9" s="223"/>
      <c r="N9" s="223"/>
      <c r="O9" s="223"/>
      <c r="P9" s="321"/>
      <c r="Q9" s="223"/>
      <c r="R9" s="223"/>
      <c r="S9" s="223"/>
      <c r="T9" s="223"/>
      <c r="U9" s="321"/>
      <c r="V9" s="223"/>
      <c r="W9" s="223"/>
      <c r="X9" s="223"/>
      <c r="Y9" s="223"/>
      <c r="Z9" s="321"/>
      <c r="AA9" s="223"/>
      <c r="AB9" s="223"/>
      <c r="AC9" s="223"/>
      <c r="AD9" s="223"/>
      <c r="AE9" s="321"/>
      <c r="AF9" s="223"/>
      <c r="AG9" s="223"/>
      <c r="AH9" s="223"/>
      <c r="AI9" s="223"/>
      <c r="AJ9" s="321"/>
      <c r="AK9" s="223"/>
      <c r="AL9" s="223"/>
      <c r="AM9" s="223"/>
      <c r="AN9" s="223"/>
      <c r="AO9" s="321"/>
      <c r="AP9" s="223"/>
      <c r="AQ9" s="428"/>
      <c r="AR9" s="428">
        <v>-17.8</v>
      </c>
      <c r="AS9" s="429"/>
      <c r="AT9" s="428">
        <v>11</v>
      </c>
      <c r="AU9" s="429"/>
      <c r="AV9" s="323">
        <v>-7</v>
      </c>
      <c r="AW9" s="430"/>
      <c r="AX9" s="428">
        <v>-26</v>
      </c>
      <c r="AY9" s="428">
        <v>-25.886152938454416</v>
      </c>
      <c r="AZ9" s="428">
        <v>-24</v>
      </c>
      <c r="BA9" s="429"/>
      <c r="BB9" s="431"/>
      <c r="BD9" s="432"/>
      <c r="BE9" s="352"/>
      <c r="BJ9" s="323"/>
      <c r="BK9" s="428"/>
      <c r="BR9" s="318"/>
      <c r="BW9" s="318"/>
    </row>
    <row r="10" spans="1:75" s="1" customFormat="1" ht="12.75">
      <c r="A10" s="325" t="s">
        <v>456</v>
      </c>
      <c r="B10" s="223"/>
      <c r="C10" s="223"/>
      <c r="D10" s="223"/>
      <c r="E10" s="223"/>
      <c r="F10" s="321"/>
      <c r="G10" s="223"/>
      <c r="H10" s="223"/>
      <c r="I10" s="223"/>
      <c r="J10" s="223"/>
      <c r="K10" s="321"/>
      <c r="L10" s="223"/>
      <c r="M10" s="223"/>
      <c r="N10" s="223"/>
      <c r="O10" s="223"/>
      <c r="P10" s="321"/>
      <c r="Q10" s="223"/>
      <c r="R10" s="223"/>
      <c r="S10" s="223"/>
      <c r="T10" s="223"/>
      <c r="U10" s="321"/>
      <c r="V10" s="223"/>
      <c r="W10" s="223"/>
      <c r="X10" s="223"/>
      <c r="Y10" s="223"/>
      <c r="Z10" s="321"/>
      <c r="AA10" s="223"/>
      <c r="AB10" s="223"/>
      <c r="AC10" s="223"/>
      <c r="AD10" s="223"/>
      <c r="AE10" s="321"/>
      <c r="AF10" s="223"/>
      <c r="AG10" s="223"/>
      <c r="AH10" s="223"/>
      <c r="AI10" s="223"/>
      <c r="AJ10" s="321"/>
      <c r="AK10" s="223"/>
      <c r="AL10" s="223"/>
      <c r="AM10" s="223"/>
      <c r="AN10" s="223"/>
      <c r="AO10" s="321"/>
      <c r="AP10" s="223"/>
      <c r="AQ10" s="428"/>
      <c r="AR10" s="428"/>
      <c r="AS10" s="429"/>
      <c r="AT10" s="428"/>
      <c r="AU10" s="429"/>
      <c r="AV10" s="323"/>
      <c r="AW10" s="430"/>
      <c r="AX10" s="428"/>
      <c r="AY10" s="428"/>
      <c r="AZ10" s="428"/>
      <c r="BA10" s="429"/>
      <c r="BB10" s="431"/>
      <c r="BD10" s="432"/>
      <c r="BE10" s="352"/>
      <c r="BJ10" s="323"/>
      <c r="BK10" s="428"/>
      <c r="BR10" s="318"/>
      <c r="BW10" s="318"/>
    </row>
    <row r="11" spans="1:75" ht="12.75">
      <c r="A11" s="21" t="s">
        <v>409</v>
      </c>
      <c r="B11" s="60">
        <v>-42.16347826086957</v>
      </c>
      <c r="C11" s="60">
        <v>25.25636672325976</v>
      </c>
      <c r="D11" s="60">
        <v>-33.90889830508475</v>
      </c>
      <c r="E11" s="60">
        <v>55.2991452991453</v>
      </c>
      <c r="F11" s="14">
        <v>4.331588132635253</v>
      </c>
      <c r="G11" s="60">
        <v>36.634339080459775</v>
      </c>
      <c r="H11" s="60">
        <v>111.08424631658481</v>
      </c>
      <c r="I11" s="60">
        <v>62.60730044123545</v>
      </c>
      <c r="J11" s="60">
        <v>41.94908180300501</v>
      </c>
      <c r="K11" s="14">
        <v>252.95348837209303</v>
      </c>
      <c r="L11" s="60">
        <v>99.95152049360952</v>
      </c>
      <c r="M11" s="60">
        <v>-49.45199275362319</v>
      </c>
      <c r="N11" s="60">
        <v>133.29579904720657</v>
      </c>
      <c r="O11" s="60">
        <v>262.65660722450843</v>
      </c>
      <c r="P11" s="14">
        <v>445.54812834224595</v>
      </c>
      <c r="Q11" s="60">
        <v>248.78365384615384</v>
      </c>
      <c r="R11" s="60">
        <v>139.59866220735788</v>
      </c>
      <c r="S11" s="60">
        <v>363.76227897838896</v>
      </c>
      <c r="T11" s="60">
        <v>281.95365982095836</v>
      </c>
      <c r="U11" s="14">
        <v>1029.466929911155</v>
      </c>
      <c r="V11" s="60">
        <v>384.42245989304814</v>
      </c>
      <c r="W11" s="60">
        <v>324.0040342914776</v>
      </c>
      <c r="X11" s="60">
        <v>280.5168986083499</v>
      </c>
      <c r="Y11" s="60">
        <v>247.1293673276676</v>
      </c>
      <c r="Z11" s="14">
        <v>1226.434651977967</v>
      </c>
      <c r="AA11" s="60">
        <v>577.9773156899811</v>
      </c>
      <c r="AB11" s="60">
        <v>422.6415094339622</v>
      </c>
      <c r="AC11" s="60">
        <v>439.6112910689496</v>
      </c>
      <c r="AD11" s="60">
        <f t="shared" si="0"/>
        <v>125.09054889024259</v>
      </c>
      <c r="AE11" s="14">
        <v>1565.3206650831355</v>
      </c>
      <c r="AF11" s="60">
        <v>308.77010897768554</v>
      </c>
      <c r="AG11" s="60">
        <v>146.1</v>
      </c>
      <c r="AH11" s="60">
        <v>400.4364429896345</v>
      </c>
      <c r="AI11" s="60">
        <v>561.6045845272206</v>
      </c>
      <c r="AJ11" s="14">
        <v>1402.6</v>
      </c>
      <c r="AK11" s="60">
        <v>375.3</v>
      </c>
      <c r="AL11" s="60">
        <v>723</v>
      </c>
      <c r="AM11" s="60">
        <v>31.2</v>
      </c>
      <c r="AN11" s="60">
        <v>-167.1</v>
      </c>
      <c r="AO11" s="14">
        <v>823.5</v>
      </c>
      <c r="AP11" s="60">
        <v>-507.1</v>
      </c>
      <c r="AQ11" s="237">
        <v>849.1</v>
      </c>
      <c r="AR11" s="237">
        <v>68.1</v>
      </c>
      <c r="AS11" s="268">
        <v>369.1716320686357</v>
      </c>
      <c r="AT11" s="237">
        <v>149</v>
      </c>
      <c r="AU11" s="268">
        <v>100.71467539552644</v>
      </c>
      <c r="AV11" s="238">
        <v>514</v>
      </c>
      <c r="AW11" s="273">
        <v>469.88630746416214</v>
      </c>
      <c r="AX11" s="237">
        <v>98</v>
      </c>
      <c r="AY11" s="237">
        <v>-200.02776492364646</v>
      </c>
      <c r="AZ11" s="237">
        <v>421</v>
      </c>
      <c r="BA11" s="268">
        <v>421</v>
      </c>
      <c r="BB11" s="268">
        <f t="shared" si="1"/>
        <v>322.17397754317926</v>
      </c>
      <c r="BC11" s="237">
        <v>162.31905465288034</v>
      </c>
      <c r="BD11" s="364">
        <v>484.4930321960596</v>
      </c>
      <c r="BE11" s="368">
        <v>97.89392378990732</v>
      </c>
      <c r="BF11" s="15">
        <v>-200</v>
      </c>
      <c r="BG11" s="15">
        <v>420.99222679469597</v>
      </c>
      <c r="BH11" s="15">
        <v>177.75480059084194</v>
      </c>
      <c r="BI11" s="15">
        <v>177.75480059084194</v>
      </c>
      <c r="BJ11" s="238">
        <v>499.5579048534359</v>
      </c>
      <c r="BK11" s="474">
        <v>499.5579048534359</v>
      </c>
      <c r="BL11" s="15">
        <v>464.7099619814946</v>
      </c>
      <c r="BM11" s="15">
        <v>292</v>
      </c>
      <c r="BN11" s="15">
        <v>292</v>
      </c>
      <c r="BO11" s="15">
        <v>187.09124480986642</v>
      </c>
      <c r="BP11" s="15">
        <v>187</v>
      </c>
      <c r="BQ11" s="15">
        <v>-129.18853147220003</v>
      </c>
      <c r="BR11" s="504">
        <v>766.0876057740169</v>
      </c>
      <c r="BS11" s="15">
        <v>325.3421633554084</v>
      </c>
      <c r="BT11" s="15">
        <v>3</v>
      </c>
      <c r="BU11" s="15">
        <v>298.3480565371025</v>
      </c>
      <c r="BV11" s="15">
        <v>35</v>
      </c>
      <c r="BW11" s="504">
        <v>664</v>
      </c>
    </row>
    <row r="12" spans="1:75" ht="12.75">
      <c r="A12" s="22" t="s">
        <v>11</v>
      </c>
      <c r="B12" s="59">
        <v>126.64695652173913</v>
      </c>
      <c r="C12" s="59">
        <v>3.062818336162988</v>
      </c>
      <c r="D12" s="59">
        <v>-39.82344632768362</v>
      </c>
      <c r="E12" s="59">
        <v>161.59900284900286</v>
      </c>
      <c r="F12" s="13">
        <v>249.25654450261783</v>
      </c>
      <c r="G12" s="59">
        <v>200.70402298850576</v>
      </c>
      <c r="H12" s="59">
        <v>151.1938043067624</v>
      </c>
      <c r="I12" s="59">
        <v>-84.79342158042519</v>
      </c>
      <c r="J12" s="59">
        <v>388.51001669449084</v>
      </c>
      <c r="K12" s="13">
        <v>650.562015503876</v>
      </c>
      <c r="L12" s="59">
        <v>243.23931247245483</v>
      </c>
      <c r="M12" s="59">
        <v>167.92572463768116</v>
      </c>
      <c r="N12" s="59">
        <v>-83.12256388046774</v>
      </c>
      <c r="O12" s="59">
        <v>594.7965249199817</v>
      </c>
      <c r="P12" s="13">
        <v>905.3386809269161</v>
      </c>
      <c r="Q12" s="59">
        <v>456.9375</v>
      </c>
      <c r="R12" s="59">
        <v>363.85570950788343</v>
      </c>
      <c r="S12" s="59">
        <v>115.84970530451866</v>
      </c>
      <c r="T12" s="59">
        <v>682.4433912585571</v>
      </c>
      <c r="U12" s="13">
        <v>1601.09081934847</v>
      </c>
      <c r="V12" s="59">
        <v>519.096256684492</v>
      </c>
      <c r="W12" s="59">
        <v>418.80484114977304</v>
      </c>
      <c r="X12" s="59">
        <v>56.12326043737575</v>
      </c>
      <c r="Y12" s="59">
        <v>428.45609065155804</v>
      </c>
      <c r="Z12" s="13">
        <v>1412.914371557336</v>
      </c>
      <c r="AA12" s="59">
        <v>431.7816635160681</v>
      </c>
      <c r="AB12" s="59">
        <v>765.0896226415094</v>
      </c>
      <c r="AC12" s="59">
        <v>697.8</v>
      </c>
      <c r="AD12" s="59">
        <f t="shared" si="0"/>
        <v>620.7681437711642</v>
      </c>
      <c r="AE12" s="13">
        <v>2515.4394299287414</v>
      </c>
      <c r="AF12" s="59">
        <v>250.12973533990663</v>
      </c>
      <c r="AG12" s="59">
        <v>557.2436245252305</v>
      </c>
      <c r="AH12" s="59">
        <v>594.1080196399346</v>
      </c>
      <c r="AI12" s="59">
        <v>319.1977077363897</v>
      </c>
      <c r="AJ12" s="13">
        <v>1716.6</v>
      </c>
      <c r="AK12" s="59">
        <v>-240.8</v>
      </c>
      <c r="AL12" s="59">
        <v>619.2</v>
      </c>
      <c r="AM12" s="59">
        <v>757</v>
      </c>
      <c r="AN12" s="59">
        <v>860.5</v>
      </c>
      <c r="AO12" s="13">
        <v>1741.6</v>
      </c>
      <c r="AP12" s="59">
        <v>111.7</v>
      </c>
      <c r="AQ12" s="232">
        <v>906.8</v>
      </c>
      <c r="AR12" s="232">
        <v>300.3</v>
      </c>
      <c r="AS12" s="267">
        <v>1250.5688132574678</v>
      </c>
      <c r="AT12" s="232">
        <v>760</v>
      </c>
      <c r="AU12" s="267">
        <v>716.3120567375887</v>
      </c>
      <c r="AV12" s="231">
        <v>2249</v>
      </c>
      <c r="AW12" s="272">
        <v>1966.8808699950566</v>
      </c>
      <c r="AX12" s="232">
        <v>-511</v>
      </c>
      <c r="AY12" s="232">
        <v>1277.6492364645999</v>
      </c>
      <c r="AZ12" s="232">
        <v>98</v>
      </c>
      <c r="BA12" s="267">
        <v>98</v>
      </c>
      <c r="BB12" s="267">
        <f t="shared" si="1"/>
        <v>969.0494121510627</v>
      </c>
      <c r="BC12" s="232">
        <v>828.1634662727721</v>
      </c>
      <c r="BD12" s="363">
        <v>1797.2128784238348</v>
      </c>
      <c r="BE12" s="368">
        <v>-510.8135942327497</v>
      </c>
      <c r="BF12" s="15">
        <v>1278</v>
      </c>
      <c r="BG12" s="15">
        <v>97.8509373571102</v>
      </c>
      <c r="BH12" s="15">
        <v>826.193993106844</v>
      </c>
      <c r="BI12" s="15">
        <v>878.877400295421</v>
      </c>
      <c r="BJ12" s="231">
        <v>1795.7712638154733</v>
      </c>
      <c r="BK12" s="473">
        <v>1820.7592503604035</v>
      </c>
      <c r="BL12" s="15">
        <v>-84.25275827482449</v>
      </c>
      <c r="BM12" s="15">
        <v>715</v>
      </c>
      <c r="BN12" s="15">
        <v>721</v>
      </c>
      <c r="BO12" s="15">
        <v>789.3114080164439</v>
      </c>
      <c r="BP12" s="15">
        <v>795</v>
      </c>
      <c r="BQ12" s="15">
        <v>449.2239467849224</v>
      </c>
      <c r="BR12" s="503">
        <v>1856.6450970632156</v>
      </c>
      <c r="BS12" s="15">
        <v>-50.331125827814574</v>
      </c>
      <c r="BT12" s="15">
        <v>706</v>
      </c>
      <c r="BU12" s="15">
        <v>908.5689045936394</v>
      </c>
      <c r="BV12" s="15">
        <v>449</v>
      </c>
      <c r="BW12" s="503">
        <v>2017</v>
      </c>
    </row>
    <row r="13" spans="1:56" ht="12.75">
      <c r="A13" s="4"/>
      <c r="AQ13" s="239"/>
      <c r="AR13" s="239"/>
      <c r="AS13" s="269"/>
      <c r="AT13" s="239"/>
      <c r="AU13" s="269"/>
      <c r="AV13" s="239"/>
      <c r="AW13" s="269"/>
      <c r="AX13" s="239"/>
      <c r="AY13" s="239"/>
      <c r="AZ13" s="239"/>
      <c r="BA13" s="269"/>
      <c r="BB13" s="269"/>
      <c r="BC13" s="239"/>
      <c r="BD13" s="239"/>
    </row>
    <row r="14" spans="1:75" ht="12.75">
      <c r="A14" s="15" t="s">
        <v>298</v>
      </c>
      <c r="AF14" s="20">
        <v>192.60863636363638</v>
      </c>
      <c r="AG14" s="20">
        <v>184.22316624895575</v>
      </c>
      <c r="AH14" s="20">
        <v>183.2445909090909</v>
      </c>
      <c r="AI14" s="20">
        <v>174.43239775910365</v>
      </c>
      <c r="AJ14" s="20">
        <v>183.8</v>
      </c>
      <c r="AQ14" s="239">
        <v>210.2</v>
      </c>
      <c r="AR14" s="239">
        <v>189.8</v>
      </c>
      <c r="AS14" s="269"/>
      <c r="AT14" s="239">
        <v>183.3</v>
      </c>
      <c r="AU14" s="269">
        <v>183.3</v>
      </c>
      <c r="AV14" s="239">
        <v>202.3</v>
      </c>
      <c r="AW14" s="269">
        <v>202.3</v>
      </c>
      <c r="AX14" s="239">
        <v>194.2</v>
      </c>
      <c r="AY14" s="239">
        <v>216.1</v>
      </c>
      <c r="AZ14" s="239">
        <v>218.7</v>
      </c>
      <c r="BA14" s="269">
        <v>218.7</v>
      </c>
      <c r="BB14" s="269"/>
      <c r="BC14" s="239">
        <v>203.1</v>
      </c>
      <c r="BD14" s="239">
        <v>208.1</v>
      </c>
      <c r="BE14" s="239">
        <v>194.2</v>
      </c>
      <c r="BF14" s="239">
        <v>216.1</v>
      </c>
      <c r="BG14" s="239">
        <v>218.7</v>
      </c>
      <c r="BH14" s="239">
        <v>203.1</v>
      </c>
      <c r="BI14" s="239"/>
      <c r="BJ14" s="239">
        <v>208.1</v>
      </c>
      <c r="BK14" s="239"/>
      <c r="BL14" s="20">
        <v>199.4</v>
      </c>
      <c r="BM14" s="20">
        <v>184.96</v>
      </c>
      <c r="BN14" s="20">
        <v>185</v>
      </c>
      <c r="BO14" s="20">
        <v>194.6</v>
      </c>
      <c r="BP14" s="20">
        <v>194.6</v>
      </c>
      <c r="BQ14" s="20">
        <v>225.5</v>
      </c>
      <c r="BR14" s="20">
        <v>200.9</v>
      </c>
      <c r="BS14" s="20">
        <v>226.5</v>
      </c>
      <c r="BT14" s="20">
        <v>229.6</v>
      </c>
      <c r="BU14" s="20">
        <v>226.4</v>
      </c>
      <c r="BV14" s="20">
        <v>218.54</v>
      </c>
      <c r="BW14" s="20">
        <v>225.4</v>
      </c>
    </row>
    <row r="15" spans="1:56" ht="12.75">
      <c r="A15" s="3" t="s">
        <v>478</v>
      </c>
      <c r="AQ15" s="239"/>
      <c r="AR15" s="239"/>
      <c r="AS15" s="269"/>
      <c r="AT15" s="239"/>
      <c r="AU15" s="269"/>
      <c r="AV15" s="239"/>
      <c r="AW15" s="269"/>
      <c r="AX15" s="239"/>
      <c r="AY15" s="239"/>
      <c r="AZ15" s="239"/>
      <c r="BA15" s="269"/>
      <c r="BB15" s="269"/>
      <c r="BC15" s="239"/>
      <c r="BD15" s="239"/>
    </row>
    <row r="16" spans="1:56" ht="12.75">
      <c r="A16" s="3" t="s">
        <v>523</v>
      </c>
      <c r="AQ16" s="239"/>
      <c r="AR16" s="239"/>
      <c r="AS16" s="269"/>
      <c r="AT16" s="239"/>
      <c r="AU16" s="269"/>
      <c r="AV16" s="239"/>
      <c r="AW16" s="269"/>
      <c r="AX16" s="239"/>
      <c r="AY16" s="239"/>
      <c r="AZ16" s="239"/>
      <c r="BA16" s="269"/>
      <c r="BB16" s="269"/>
      <c r="BC16" s="239"/>
      <c r="BD16" s="239"/>
    </row>
    <row r="17" spans="1:69" s="3" customFormat="1" ht="12.75">
      <c r="A17" s="3" t="s">
        <v>592</v>
      </c>
      <c r="AS17" s="265"/>
      <c r="AU17" s="265"/>
      <c r="AW17" s="265"/>
      <c r="BA17" s="265"/>
      <c r="BB17" s="265"/>
      <c r="BE17" s="360"/>
      <c r="BL17" s="171"/>
      <c r="BM17" s="171"/>
      <c r="BN17" s="171"/>
      <c r="BO17" s="171"/>
      <c r="BP17" s="171"/>
      <c r="BQ17" s="171"/>
    </row>
    <row r="18" spans="1:56" ht="12.75">
      <c r="A18" s="36"/>
      <c r="AQ18" s="239"/>
      <c r="AR18" s="239"/>
      <c r="AS18" s="269"/>
      <c r="AT18" s="239"/>
      <c r="AU18" s="269"/>
      <c r="AV18" s="239"/>
      <c r="AW18" s="269"/>
      <c r="AX18" s="239"/>
      <c r="AY18" s="239"/>
      <c r="AZ18" s="239"/>
      <c r="BA18" s="269"/>
      <c r="BB18" s="269"/>
      <c r="BC18" s="239"/>
      <c r="BD18" s="239"/>
    </row>
    <row r="19" spans="1:67" ht="25.5">
      <c r="A19" s="175" t="s">
        <v>467</v>
      </c>
      <c r="B19" s="176" t="s">
        <v>2</v>
      </c>
      <c r="C19" s="176" t="s">
        <v>3</v>
      </c>
      <c r="D19" s="176" t="s">
        <v>4</v>
      </c>
      <c r="E19" s="176" t="s">
        <v>5</v>
      </c>
      <c r="F19" s="177" t="s">
        <v>6</v>
      </c>
      <c r="G19" s="176" t="s">
        <v>12</v>
      </c>
      <c r="H19" s="176" t="s">
        <v>13</v>
      </c>
      <c r="I19" s="176" t="s">
        <v>14</v>
      </c>
      <c r="J19" s="176" t="s">
        <v>15</v>
      </c>
      <c r="K19" s="177" t="s">
        <v>16</v>
      </c>
      <c r="L19" s="176" t="s">
        <v>17</v>
      </c>
      <c r="M19" s="176" t="s">
        <v>18</v>
      </c>
      <c r="N19" s="176" t="s">
        <v>19</v>
      </c>
      <c r="O19" s="176" t="s">
        <v>20</v>
      </c>
      <c r="P19" s="177" t="s">
        <v>21</v>
      </c>
      <c r="Q19" s="176" t="s">
        <v>22</v>
      </c>
      <c r="R19" s="176" t="s">
        <v>23</v>
      </c>
      <c r="S19" s="176" t="s">
        <v>24</v>
      </c>
      <c r="T19" s="176" t="s">
        <v>25</v>
      </c>
      <c r="U19" s="177" t="s">
        <v>26</v>
      </c>
      <c r="V19" s="176" t="s">
        <v>27</v>
      </c>
      <c r="W19" s="176" t="s">
        <v>28</v>
      </c>
      <c r="X19" s="176" t="s">
        <v>29</v>
      </c>
      <c r="Y19" s="176" t="s">
        <v>30</v>
      </c>
      <c r="Z19" s="177" t="s">
        <v>31</v>
      </c>
      <c r="AA19" s="176" t="s">
        <v>32</v>
      </c>
      <c r="AB19" s="176" t="s">
        <v>33</v>
      </c>
      <c r="AC19" s="176" t="s">
        <v>34</v>
      </c>
      <c r="AD19" s="176" t="s">
        <v>271</v>
      </c>
      <c r="AE19" s="177" t="s">
        <v>272</v>
      </c>
      <c r="AF19" s="176" t="s">
        <v>274</v>
      </c>
      <c r="AG19" s="176" t="s">
        <v>276</v>
      </c>
      <c r="AH19" s="176" t="s">
        <v>278</v>
      </c>
      <c r="AI19" s="176" t="s">
        <v>280</v>
      </c>
      <c r="AJ19" s="177" t="s">
        <v>281</v>
      </c>
      <c r="AK19" s="176" t="s">
        <v>289</v>
      </c>
      <c r="AL19" s="176" t="s">
        <v>290</v>
      </c>
      <c r="AM19" s="176" t="s">
        <v>291</v>
      </c>
      <c r="AN19" s="176" t="s">
        <v>292</v>
      </c>
      <c r="AO19" s="177" t="s">
        <v>293</v>
      </c>
      <c r="AP19" s="176" t="s">
        <v>329</v>
      </c>
      <c r="AQ19" s="240" t="s">
        <v>330</v>
      </c>
      <c r="AR19" s="240" t="s">
        <v>331</v>
      </c>
      <c r="AS19" s="284" t="s">
        <v>490</v>
      </c>
      <c r="AT19" s="240" t="s">
        <v>332</v>
      </c>
      <c r="AU19" s="284" t="s">
        <v>477</v>
      </c>
      <c r="AV19" s="241" t="s">
        <v>333</v>
      </c>
      <c r="AW19" s="274" t="s">
        <v>458</v>
      </c>
      <c r="AX19" s="240" t="s">
        <v>448</v>
      </c>
      <c r="AY19" s="240" t="s">
        <v>451</v>
      </c>
      <c r="AZ19" s="240" t="s">
        <v>453</v>
      </c>
      <c r="BA19" s="270" t="s">
        <v>459</v>
      </c>
      <c r="BB19" s="270" t="s">
        <v>491</v>
      </c>
      <c r="BC19" s="240" t="s">
        <v>454</v>
      </c>
      <c r="BD19" s="365" t="s">
        <v>457</v>
      </c>
      <c r="BE19" s="438"/>
      <c r="BF19" s="433"/>
      <c r="BG19" s="433"/>
      <c r="BH19" s="433"/>
      <c r="BI19" s="433"/>
      <c r="BJ19" s="433"/>
      <c r="BK19" s="433"/>
      <c r="BL19" s="433"/>
      <c r="BM19" s="433"/>
      <c r="BN19" s="433"/>
      <c r="BO19" s="433"/>
    </row>
    <row r="20" spans="2:67" ht="12.7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239"/>
      <c r="AR20" s="239"/>
      <c r="AS20" s="269"/>
      <c r="AT20" s="239"/>
      <c r="AU20" s="269"/>
      <c r="AV20" s="239"/>
      <c r="AW20" s="269"/>
      <c r="AX20" s="239"/>
      <c r="AY20" s="239"/>
      <c r="AZ20" s="239"/>
      <c r="BA20" s="269"/>
      <c r="BB20" s="269"/>
      <c r="BC20" s="239"/>
      <c r="BD20" s="239"/>
      <c r="BE20" s="352"/>
      <c r="BF20" s="1"/>
      <c r="BG20" s="1"/>
      <c r="BH20" s="1"/>
      <c r="BI20" s="1"/>
      <c r="BJ20" s="1"/>
      <c r="BK20" s="1"/>
      <c r="BL20" s="1"/>
      <c r="BM20" s="1"/>
      <c r="BN20" s="1"/>
      <c r="BO20" s="1"/>
    </row>
    <row r="21" spans="1:67" ht="12.75">
      <c r="A21" s="178" t="s">
        <v>7</v>
      </c>
      <c r="B21" s="59">
        <v>1063.9860869565218</v>
      </c>
      <c r="C21" s="59">
        <v>888.4753820033956</v>
      </c>
      <c r="D21" s="59">
        <v>1026.292372881356</v>
      </c>
      <c r="E21" s="59">
        <v>1127.3896011396012</v>
      </c>
      <c r="F21" s="195">
        <v>4100.415357766143</v>
      </c>
      <c r="G21" s="59">
        <v>1048.128591954023</v>
      </c>
      <c r="H21" s="59">
        <v>1082.432942954288</v>
      </c>
      <c r="I21" s="59">
        <v>1035.9847573204975</v>
      </c>
      <c r="J21" s="59">
        <v>1348.3597662771285</v>
      </c>
      <c r="K21" s="195">
        <v>4494.79457364341</v>
      </c>
      <c r="L21" s="59">
        <v>1492.4327897752312</v>
      </c>
      <c r="M21" s="59">
        <v>1603.9221014492753</v>
      </c>
      <c r="N21" s="59">
        <v>1542.2607189259418</v>
      </c>
      <c r="O21" s="59">
        <v>2081.1659807956103</v>
      </c>
      <c r="P21" s="195">
        <v>6702.486631016042</v>
      </c>
      <c r="Q21" s="59">
        <v>2272.8701923076924</v>
      </c>
      <c r="R21" s="59">
        <v>2026.1681796464406</v>
      </c>
      <c r="S21" s="59">
        <v>2221.76326129666</v>
      </c>
      <c r="T21" s="59">
        <v>3194.549763033175</v>
      </c>
      <c r="U21" s="195">
        <v>9653.652517275419</v>
      </c>
      <c r="V21" s="59">
        <v>3054.7005347593586</v>
      </c>
      <c r="W21" s="59">
        <v>2748.6333837619763</v>
      </c>
      <c r="X21" s="59">
        <v>2911.32703777336</v>
      </c>
      <c r="Y21" s="59">
        <v>3555.8168083097257</v>
      </c>
      <c r="Z21" s="195">
        <v>12294.261392088134</v>
      </c>
      <c r="AA21" s="59">
        <v>3774.4281663516067</v>
      </c>
      <c r="AB21" s="59">
        <v>3312.1179245283015</v>
      </c>
      <c r="AC21" s="59">
        <v>3527.5</v>
      </c>
      <c r="AD21" s="59">
        <f>AE21-AB21-AA21-AC21</f>
        <v>3120.3957143457446</v>
      </c>
      <c r="AE21" s="195">
        <v>13734.441805225653</v>
      </c>
      <c r="AF21" s="59">
        <v>2676.6995329527763</v>
      </c>
      <c r="AG21" s="59">
        <v>3291.1</v>
      </c>
      <c r="AH21" s="59">
        <v>3737.588652482269</v>
      </c>
      <c r="AI21" s="59">
        <v>4507.163323782235</v>
      </c>
      <c r="AJ21" s="195">
        <v>14113.2</v>
      </c>
      <c r="AK21" s="59">
        <v>4538.7</v>
      </c>
      <c r="AL21" s="59">
        <v>5803.7</v>
      </c>
      <c r="AM21" s="59">
        <v>6211.6</v>
      </c>
      <c r="AN21" s="59">
        <v>4275.1</v>
      </c>
      <c r="AO21" s="195">
        <v>20576.7</v>
      </c>
      <c r="AP21" s="59">
        <v>2794.1</v>
      </c>
      <c r="AQ21" s="232">
        <v>3323.4</v>
      </c>
      <c r="AR21" s="232">
        <v>3999.3</v>
      </c>
      <c r="AS21" s="267">
        <v>9927.685722214177</v>
      </c>
      <c r="AT21" s="232">
        <v>4340</v>
      </c>
      <c r="AU21" s="267">
        <v>4307.430441898527</v>
      </c>
      <c r="AV21" s="242">
        <v>14265</v>
      </c>
      <c r="AW21" s="275">
        <v>14235.116164112704</v>
      </c>
      <c r="AX21" s="232">
        <v>3614</v>
      </c>
      <c r="AY21" s="232">
        <v>4027.9639055992593</v>
      </c>
      <c r="AZ21" s="232">
        <v>4393</v>
      </c>
      <c r="BA21" s="267">
        <v>4393</v>
      </c>
      <c r="BB21" s="267">
        <f>BD21-BC21</f>
        <v>12061.535978493846</v>
      </c>
      <c r="BC21" s="232">
        <v>4594.672575086164</v>
      </c>
      <c r="BD21" s="366">
        <v>16656.20855358001</v>
      </c>
      <c r="BE21" s="352"/>
      <c r="BF21" s="1"/>
      <c r="BG21" s="1"/>
      <c r="BH21" s="1"/>
      <c r="BI21" s="1"/>
      <c r="BJ21" s="428"/>
      <c r="BK21" s="428"/>
      <c r="BL21" s="1"/>
      <c r="BM21" s="1"/>
      <c r="BN21" s="1"/>
      <c r="BO21" s="1"/>
    </row>
    <row r="22" spans="1:67" ht="12.75">
      <c r="A22" s="178" t="s">
        <v>8</v>
      </c>
      <c r="B22" s="59">
        <v>71.77043478260869</v>
      </c>
      <c r="C22" s="59">
        <v>8.859083191850594</v>
      </c>
      <c r="D22" s="59">
        <v>39.09957627118644</v>
      </c>
      <c r="E22" s="59">
        <v>134.73290598290598</v>
      </c>
      <c r="F22" s="195">
        <v>251.82897033158812</v>
      </c>
      <c r="G22" s="59">
        <v>102.41379310344828</v>
      </c>
      <c r="H22" s="59">
        <v>172.73894975443898</v>
      </c>
      <c r="I22" s="59">
        <v>133.7585238668271</v>
      </c>
      <c r="J22" s="59">
        <v>88.45993322203672</v>
      </c>
      <c r="K22" s="195">
        <v>499.1356589147286</v>
      </c>
      <c r="L22" s="59">
        <v>212.974878801234</v>
      </c>
      <c r="M22" s="59">
        <v>105.11322463768114</v>
      </c>
      <c r="N22" s="59">
        <v>228.51883932438287</v>
      </c>
      <c r="O22" s="59">
        <v>247.93324188385918</v>
      </c>
      <c r="P22" s="195">
        <v>795.5481283422458</v>
      </c>
      <c r="Q22" s="59">
        <v>416.3942307692308</v>
      </c>
      <c r="R22" s="59">
        <v>347.19063545150505</v>
      </c>
      <c r="S22" s="59">
        <v>522.5</v>
      </c>
      <c r="T22" s="59">
        <v>482.73828330700366</v>
      </c>
      <c r="U22" s="195">
        <v>1763.7216189536032</v>
      </c>
      <c r="V22" s="59">
        <v>638.0053475935829</v>
      </c>
      <c r="W22" s="59">
        <v>537.6752395360564</v>
      </c>
      <c r="X22" s="59">
        <v>478.93638170974157</v>
      </c>
      <c r="Y22" s="59">
        <v>498.80075542965056</v>
      </c>
      <c r="Z22" s="195">
        <v>2142.8943415122685</v>
      </c>
      <c r="AA22" s="59">
        <v>884</v>
      </c>
      <c r="AB22" s="59">
        <v>635</v>
      </c>
      <c r="AC22" s="59">
        <v>588.2</v>
      </c>
      <c r="AD22" s="59">
        <f>AE22-AB22-AA22-AC22</f>
        <v>399.79999999999995</v>
      </c>
      <c r="AE22" s="195">
        <v>2507</v>
      </c>
      <c r="AF22" s="59">
        <v>566.6839647119875</v>
      </c>
      <c r="AG22" s="59">
        <v>670.5</v>
      </c>
      <c r="AH22" s="59">
        <v>735.4064375340972</v>
      </c>
      <c r="AI22" s="59">
        <v>736.3896848137535</v>
      </c>
      <c r="AJ22" s="195">
        <v>2698.6</v>
      </c>
      <c r="AK22" s="59">
        <v>586.6</v>
      </c>
      <c r="AL22" s="59">
        <v>777.1</v>
      </c>
      <c r="AM22" s="59">
        <v>478.1</v>
      </c>
      <c r="AN22" s="59">
        <v>257.5</v>
      </c>
      <c r="AO22" s="195">
        <v>2045.1</v>
      </c>
      <c r="AP22" s="59">
        <v>475.4</v>
      </c>
      <c r="AQ22" s="232">
        <v>590</v>
      </c>
      <c r="AR22" s="232">
        <v>399.6</v>
      </c>
      <c r="AS22" s="267">
        <v>1402.023597154275</v>
      </c>
      <c r="AT22" s="232">
        <v>342</v>
      </c>
      <c r="AU22" s="267">
        <v>362.87506819421714</v>
      </c>
      <c r="AV22" s="242">
        <v>1746</v>
      </c>
      <c r="AW22" s="275">
        <v>1764.8986653484922</v>
      </c>
      <c r="AX22" s="232">
        <v>478</v>
      </c>
      <c r="AY22" s="232">
        <v>381.89726978250803</v>
      </c>
      <c r="AZ22" s="232">
        <v>485</v>
      </c>
      <c r="BA22" s="267">
        <v>485</v>
      </c>
      <c r="BB22" s="267">
        <f>BD22-BC22</f>
        <v>1341.943577101775</v>
      </c>
      <c r="BC22" s="232">
        <v>450.10832102412604</v>
      </c>
      <c r="BD22" s="366">
        <v>1792.051898125901</v>
      </c>
      <c r="BE22" s="352"/>
      <c r="BF22" s="1"/>
      <c r="BG22" s="1"/>
      <c r="BH22" s="1"/>
      <c r="BI22" s="1"/>
      <c r="BJ22" s="428"/>
      <c r="BK22" s="428"/>
      <c r="BL22" s="1"/>
      <c r="BM22" s="1"/>
      <c r="BN22" s="1"/>
      <c r="BO22" s="1"/>
    </row>
    <row r="23" spans="1:67" ht="12.75">
      <c r="A23" s="179" t="s">
        <v>9</v>
      </c>
      <c r="B23" s="60">
        <v>10.605217391304349</v>
      </c>
      <c r="C23" s="60">
        <v>-46.97792869269949</v>
      </c>
      <c r="D23" s="60">
        <v>-25.314265536723166</v>
      </c>
      <c r="E23" s="60">
        <v>52.628205128205124</v>
      </c>
      <c r="F23" s="196">
        <v>-11.089005235602095</v>
      </c>
      <c r="G23" s="60">
        <v>43.771551724137936</v>
      </c>
      <c r="H23" s="60">
        <v>109.463543634303</v>
      </c>
      <c r="I23" s="60">
        <v>67.47292418772562</v>
      </c>
      <c r="J23" s="60">
        <v>-3.3931552587646077</v>
      </c>
      <c r="K23" s="196">
        <v>221.58527131782947</v>
      </c>
      <c r="L23" s="60">
        <v>124.05024239753195</v>
      </c>
      <c r="M23" s="60">
        <v>1.322463768115942</v>
      </c>
      <c r="N23" s="60">
        <v>123.98873971416198</v>
      </c>
      <c r="O23" s="60">
        <v>118.89803383630544</v>
      </c>
      <c r="P23" s="196">
        <v>370.1916221033868</v>
      </c>
      <c r="Q23" s="60">
        <v>297.21634615384613</v>
      </c>
      <c r="R23" s="60">
        <v>227.8260869565217</v>
      </c>
      <c r="S23" s="60">
        <v>400.9970530451867</v>
      </c>
      <c r="T23" s="60">
        <v>303.4386519220642</v>
      </c>
      <c r="U23" s="196">
        <v>1227.8923988153997</v>
      </c>
      <c r="V23" s="60">
        <v>494.2245989304813</v>
      </c>
      <c r="W23" s="60">
        <v>390.4437720625315</v>
      </c>
      <c r="X23" s="60">
        <v>347.2216699801193</v>
      </c>
      <c r="Y23" s="60">
        <v>305.61850802644005</v>
      </c>
      <c r="Z23" s="196">
        <v>1524.4667000500751</v>
      </c>
      <c r="AA23" s="60">
        <v>733.3034026465028</v>
      </c>
      <c r="AB23" s="60">
        <v>482.6698113207547</v>
      </c>
      <c r="AC23" s="60">
        <v>438.7</v>
      </c>
      <c r="AD23" s="60">
        <f>AE23-AB23-AA23-AC23</f>
        <v>220.86122783796822</v>
      </c>
      <c r="AE23" s="196">
        <v>1875.5344418052257</v>
      </c>
      <c r="AF23" s="60">
        <v>389.72496107939804</v>
      </c>
      <c r="AG23" s="60">
        <v>496.7</v>
      </c>
      <c r="AH23" s="60">
        <v>523.7315875613747</v>
      </c>
      <c r="AI23" s="60">
        <v>532.3782234957021</v>
      </c>
      <c r="AJ23" s="196">
        <v>1934.2</v>
      </c>
      <c r="AK23" s="60">
        <v>388.6</v>
      </c>
      <c r="AL23" s="60">
        <v>561.7</v>
      </c>
      <c r="AM23" s="60">
        <v>233.1</v>
      </c>
      <c r="AN23" s="60">
        <v>32</v>
      </c>
      <c r="AO23" s="196">
        <v>1160.7</v>
      </c>
      <c r="AP23" s="60">
        <v>297.7</v>
      </c>
      <c r="AQ23" s="237">
        <v>375.1</v>
      </c>
      <c r="AR23" s="237">
        <v>191.6</v>
      </c>
      <c r="AS23" s="268">
        <v>806.0739790284074</v>
      </c>
      <c r="AT23" s="237">
        <v>117</v>
      </c>
      <c r="AU23" s="268">
        <v>136.17021276595744</v>
      </c>
      <c r="AV23" s="243">
        <v>926</v>
      </c>
      <c r="AW23" s="276">
        <v>942.2441917943648</v>
      </c>
      <c r="AX23" s="237">
        <v>258</v>
      </c>
      <c r="AY23" s="237">
        <v>186.45997223507635</v>
      </c>
      <c r="AZ23" s="237">
        <v>298</v>
      </c>
      <c r="BA23" s="268">
        <v>298</v>
      </c>
      <c r="BB23" s="268">
        <f>BD23-BC23</f>
        <v>743.2819741862734</v>
      </c>
      <c r="BC23" s="237">
        <v>199.40423436730674</v>
      </c>
      <c r="BD23" s="367">
        <v>942.6862085535801</v>
      </c>
      <c r="BE23" s="352"/>
      <c r="BF23" s="1"/>
      <c r="BG23" s="1"/>
      <c r="BH23" s="1"/>
      <c r="BI23" s="1"/>
      <c r="BJ23" s="434"/>
      <c r="BK23" s="434"/>
      <c r="BL23" s="1"/>
      <c r="BM23" s="1"/>
      <c r="BN23" s="1"/>
      <c r="BO23" s="1"/>
    </row>
    <row r="24" spans="1:67" ht="12.75">
      <c r="A24" s="178" t="s">
        <v>10</v>
      </c>
      <c r="B24" s="59">
        <v>52.51826086956522</v>
      </c>
      <c r="C24" s="59">
        <v>-55.79966044142615</v>
      </c>
      <c r="D24" s="59">
        <v>25.15183615819209</v>
      </c>
      <c r="E24" s="59">
        <v>-3.7286324786324783</v>
      </c>
      <c r="F24" s="195">
        <v>16.551483420593367</v>
      </c>
      <c r="G24" s="59">
        <v>5.897988505747127</v>
      </c>
      <c r="H24" s="59">
        <v>-6.766150358896865</v>
      </c>
      <c r="I24" s="59">
        <v>14.52065784195748</v>
      </c>
      <c r="J24" s="59">
        <v>-22.36644407345576</v>
      </c>
      <c r="K24" s="195">
        <v>-7.317829457364341</v>
      </c>
      <c r="L24" s="59">
        <v>39.850154252974875</v>
      </c>
      <c r="M24" s="59">
        <v>43.70018115942029</v>
      </c>
      <c r="N24" s="59">
        <v>-24.382849718492853</v>
      </c>
      <c r="O24" s="59">
        <v>13.781435756744397</v>
      </c>
      <c r="P24" s="195">
        <v>71.63547237076648</v>
      </c>
      <c r="Q24" s="59">
        <v>-20.129807692307693</v>
      </c>
      <c r="R24" s="59">
        <v>51.92546583850932</v>
      </c>
      <c r="S24" s="59">
        <v>-19.101178781925345</v>
      </c>
      <c r="T24" s="59">
        <v>-41.84834123222748</v>
      </c>
      <c r="U24" s="195">
        <v>-25.44422507403751</v>
      </c>
      <c r="V24" s="59">
        <v>47.93048128342246</v>
      </c>
      <c r="W24" s="59">
        <v>29.475542107917292</v>
      </c>
      <c r="X24" s="59">
        <v>39.731610337972164</v>
      </c>
      <c r="Y24" s="59">
        <v>44.17374881964117</v>
      </c>
      <c r="Z24" s="195">
        <v>161.0315473209815</v>
      </c>
      <c r="AA24" s="59">
        <v>125.30245746691871</v>
      </c>
      <c r="AB24" s="59">
        <v>62.306603773584904</v>
      </c>
      <c r="AC24" s="59">
        <v>-59.7</v>
      </c>
      <c r="AD24" s="59">
        <f>AE24-AB24-AA24-AC24</f>
        <v>50.71326655047025</v>
      </c>
      <c r="AE24" s="195">
        <v>178.62232779097386</v>
      </c>
      <c r="AF24" s="59">
        <v>-8.303061754021797</v>
      </c>
      <c r="AG24" s="59">
        <v>189</v>
      </c>
      <c r="AH24" s="59">
        <v>-26.73213311511184</v>
      </c>
      <c r="AI24" s="59">
        <v>-67.0487106017192</v>
      </c>
      <c r="AJ24" s="195">
        <v>90.3</v>
      </c>
      <c r="AK24" s="59">
        <v>-7.5</v>
      </c>
      <c r="AL24" s="59">
        <v>-236.7</v>
      </c>
      <c r="AM24" s="59">
        <v>265.4</v>
      </c>
      <c r="AN24" s="59">
        <v>65.9</v>
      </c>
      <c r="AO24" s="195">
        <v>93.2</v>
      </c>
      <c r="AP24" s="59">
        <v>649.9</v>
      </c>
      <c r="AQ24" s="232">
        <v>-492.7</v>
      </c>
      <c r="AR24" s="232">
        <v>-78.1</v>
      </c>
      <c r="AS24" s="267">
        <v>127.16132992139768</v>
      </c>
      <c r="AT24" s="232">
        <v>-160</v>
      </c>
      <c r="AU24" s="267">
        <v>158.7506819421713</v>
      </c>
      <c r="AV24" s="242">
        <v>-287</v>
      </c>
      <c r="AW24" s="275">
        <v>285.912011863569</v>
      </c>
      <c r="AX24" s="232">
        <v>39.6</v>
      </c>
      <c r="AY24" s="232">
        <v>235.22443313280888</v>
      </c>
      <c r="AZ24" s="232">
        <v>-91</v>
      </c>
      <c r="BA24" s="267">
        <v>-91</v>
      </c>
      <c r="BB24" s="267">
        <f>BD24-BC24</f>
        <v>183.5900154997822</v>
      </c>
      <c r="BC24" s="232">
        <v>71.3835548990645</v>
      </c>
      <c r="BD24" s="366">
        <v>254.9735703988467</v>
      </c>
      <c r="BE24" s="352"/>
      <c r="BF24" s="1"/>
      <c r="BG24" s="1"/>
      <c r="BH24" s="1"/>
      <c r="BI24" s="1"/>
      <c r="BJ24" s="428"/>
      <c r="BK24" s="428"/>
      <c r="BL24" s="1"/>
      <c r="BM24" s="1"/>
      <c r="BN24" s="1"/>
      <c r="BO24" s="1"/>
    </row>
    <row r="25" spans="1:67" ht="12.75">
      <c r="A25" s="179" t="s">
        <v>409</v>
      </c>
      <c r="B25" s="60">
        <v>-42.16347826086957</v>
      </c>
      <c r="C25" s="60">
        <v>25.25636672325976</v>
      </c>
      <c r="D25" s="60">
        <v>-33.90889830508475</v>
      </c>
      <c r="E25" s="60">
        <v>55.2991452991453</v>
      </c>
      <c r="F25" s="196">
        <v>4.331588132635253</v>
      </c>
      <c r="G25" s="60">
        <v>36.634339080459775</v>
      </c>
      <c r="H25" s="60">
        <v>111.08424631658481</v>
      </c>
      <c r="I25" s="60">
        <v>62.60730044123545</v>
      </c>
      <c r="J25" s="60">
        <v>41.94908180300501</v>
      </c>
      <c r="K25" s="196">
        <v>252.95348837209303</v>
      </c>
      <c r="L25" s="60">
        <v>99.95152049360952</v>
      </c>
      <c r="M25" s="60">
        <v>-49.45199275362319</v>
      </c>
      <c r="N25" s="60">
        <v>133.29579904720657</v>
      </c>
      <c r="O25" s="60">
        <v>262.65660722450843</v>
      </c>
      <c r="P25" s="196">
        <v>445.54812834224595</v>
      </c>
      <c r="Q25" s="60">
        <v>248.78365384615384</v>
      </c>
      <c r="R25" s="60">
        <v>139.59866220735788</v>
      </c>
      <c r="S25" s="60">
        <v>363.76227897838896</v>
      </c>
      <c r="T25" s="60">
        <v>281.95365982095836</v>
      </c>
      <c r="U25" s="196">
        <v>1029.466929911155</v>
      </c>
      <c r="V25" s="60">
        <v>384.42245989304814</v>
      </c>
      <c r="W25" s="60">
        <v>324.0040342914776</v>
      </c>
      <c r="X25" s="60">
        <v>280.5168986083499</v>
      </c>
      <c r="Y25" s="60">
        <v>247.1293673276676</v>
      </c>
      <c r="Z25" s="196">
        <v>1226.434651977967</v>
      </c>
      <c r="AA25" s="60">
        <v>577.9773156899811</v>
      </c>
      <c r="AB25" s="60">
        <v>422.6415094339622</v>
      </c>
      <c r="AC25" s="60">
        <v>439.6112910689496</v>
      </c>
      <c r="AD25" s="60">
        <f>AE25-AB25-AA25-AC25</f>
        <v>125.09054889024259</v>
      </c>
      <c r="AE25" s="196">
        <v>1565.3206650831355</v>
      </c>
      <c r="AF25" s="60">
        <v>308.77010897768554</v>
      </c>
      <c r="AG25" s="60">
        <v>146.1</v>
      </c>
      <c r="AH25" s="60">
        <v>400.4364429896345</v>
      </c>
      <c r="AI25" s="60">
        <v>561.6045845272206</v>
      </c>
      <c r="AJ25" s="196">
        <v>1402.6</v>
      </c>
      <c r="AK25" s="60">
        <v>375.3</v>
      </c>
      <c r="AL25" s="60">
        <v>723</v>
      </c>
      <c r="AM25" s="60">
        <v>31.2</v>
      </c>
      <c r="AN25" s="60">
        <v>-167.1</v>
      </c>
      <c r="AO25" s="196">
        <v>823.5</v>
      </c>
      <c r="AP25" s="60">
        <v>-507.1</v>
      </c>
      <c r="AQ25" s="237">
        <v>849.1</v>
      </c>
      <c r="AR25" s="237">
        <v>58.1</v>
      </c>
      <c r="AS25" s="268">
        <v>251.35464795333746</v>
      </c>
      <c r="AT25" s="237">
        <v>-2</v>
      </c>
      <c r="AU25" s="268">
        <v>24.2607746863066</v>
      </c>
      <c r="AV25" s="243">
        <v>252</v>
      </c>
      <c r="AW25" s="276">
        <v>275.61542263964407</v>
      </c>
      <c r="AX25" s="237">
        <v>143</v>
      </c>
      <c r="AY25" s="237">
        <v>-156.8024062933827</v>
      </c>
      <c r="AZ25" s="237">
        <v>360</v>
      </c>
      <c r="BA25" s="268">
        <v>360</v>
      </c>
      <c r="BB25" s="268">
        <f>BD25-BC25</f>
        <v>346.3060642690863</v>
      </c>
      <c r="BC25" s="237">
        <v>130.54160512063024</v>
      </c>
      <c r="BD25" s="367">
        <v>476.8476693897165</v>
      </c>
      <c r="BE25" s="352"/>
      <c r="BF25" s="1"/>
      <c r="BG25" s="1"/>
      <c r="BH25" s="1"/>
      <c r="BI25" s="1"/>
      <c r="BJ25" s="434"/>
      <c r="BK25" s="434"/>
      <c r="BL25" s="1"/>
      <c r="BM25" s="1"/>
      <c r="BN25" s="1"/>
      <c r="BO25" s="1"/>
    </row>
    <row r="26" spans="1:63" ht="12.75">
      <c r="A26" s="17"/>
      <c r="AQ26" s="239"/>
      <c r="AR26" s="239"/>
      <c r="AS26" s="269"/>
      <c r="AT26" s="239"/>
      <c r="AU26" s="269"/>
      <c r="AV26" s="239"/>
      <c r="AW26" s="269"/>
      <c r="AX26" s="239"/>
      <c r="AY26" s="239"/>
      <c r="AZ26" s="239"/>
      <c r="BA26" s="269"/>
      <c r="BB26" s="269"/>
      <c r="BC26" s="239"/>
      <c r="BD26" s="239"/>
      <c r="BJ26" s="239"/>
      <c r="BK26" s="239"/>
    </row>
    <row r="27" spans="1:63" ht="12.75">
      <c r="A27" s="15" t="s">
        <v>298</v>
      </c>
      <c r="AF27" s="20">
        <v>192.60863636363638</v>
      </c>
      <c r="AG27" s="20">
        <v>184.22316624895575</v>
      </c>
      <c r="AH27" s="20">
        <v>183.2445909090909</v>
      </c>
      <c r="AI27" s="20">
        <v>174.43239775910365</v>
      </c>
      <c r="AJ27" s="20">
        <v>183.8</v>
      </c>
      <c r="AQ27" s="239">
        <v>210.2</v>
      </c>
      <c r="AR27" s="239">
        <v>189.8</v>
      </c>
      <c r="AS27" s="269"/>
      <c r="AT27" s="239">
        <v>183.3</v>
      </c>
      <c r="AU27" s="269">
        <v>183.3</v>
      </c>
      <c r="AV27" s="239">
        <v>202.3</v>
      </c>
      <c r="AW27" s="269">
        <v>202.3</v>
      </c>
      <c r="AX27" s="239">
        <v>194.2</v>
      </c>
      <c r="AY27" s="239">
        <v>216.1</v>
      </c>
      <c r="AZ27" s="239">
        <v>218.7</v>
      </c>
      <c r="BA27" s="269">
        <v>218.7</v>
      </c>
      <c r="BB27" s="269"/>
      <c r="BC27" s="239">
        <v>203.1</v>
      </c>
      <c r="BD27" s="239">
        <v>208.1</v>
      </c>
      <c r="BJ27" s="239"/>
      <c r="BK27" s="239"/>
    </row>
    <row r="28" ht="12.75"/>
    <row r="29" ht="12.75">
      <c r="A29" s="3" t="s">
        <v>478</v>
      </c>
    </row>
    <row r="30" ht="12.75"/>
    <row r="31" ht="12.75"/>
    <row r="32" ht="12.75"/>
  </sheetData>
  <sheetProtection/>
  <printOptions/>
  <pageMargins left="0.75" right="0.75" top="1" bottom="1" header="0.5" footer="0.5"/>
  <pageSetup fitToHeight="1" fitToWidth="1" horizontalDpi="300" verticalDpi="300" orientation="landscape" paperSize="9" scale="22"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BW22"/>
  <sheetViews>
    <sheetView view="pageBreakPreview" zoomScaleNormal="75" zoomScaleSheetLayoutView="100" zoomScalePageLayoutView="0" workbookViewId="0" topLeftCell="A1">
      <pane xSplit="41" ySplit="4" topLeftCell="BM5" activePane="bottomRight" state="frozen"/>
      <selection pane="topLeft" activeCell="A1" sqref="A1"/>
      <selection pane="topRight" activeCell="AP1" sqref="AP1"/>
      <selection pane="bottomLeft" activeCell="A5" sqref="A5"/>
      <selection pane="bottomRight" activeCell="A3" sqref="A3"/>
    </sheetView>
  </sheetViews>
  <sheetFormatPr defaultColWidth="9.140625" defaultRowHeight="12.75" zeroHeight="1" outlineLevelCol="1"/>
  <cols>
    <col min="1" max="1" width="65.00390625" style="23" bestFit="1" customWidth="1"/>
    <col min="2" max="21" width="9.140625" style="23" hidden="1" customWidth="1" outlineLevel="1"/>
    <col min="22" max="22" width="0" style="23" hidden="1" customWidth="1" collapsed="1"/>
    <col min="23" max="41" width="0" style="23" hidden="1" customWidth="1"/>
    <col min="42" max="44" width="9.140625" style="23" customWidth="1"/>
    <col min="45" max="45" width="12.57421875" style="27" customWidth="1"/>
    <col min="46" max="46" width="9.140625" style="23" customWidth="1"/>
    <col min="47" max="47" width="9.57421875" style="27" customWidth="1"/>
    <col min="48" max="48" width="9.140625" style="23" customWidth="1"/>
    <col min="49" max="49" width="9.140625" style="27" customWidth="1"/>
    <col min="50" max="52" width="9.140625" style="23" customWidth="1"/>
    <col min="53" max="53" width="9.140625" style="27" customWidth="1"/>
    <col min="54" max="54" width="13.28125" style="27" customWidth="1"/>
    <col min="55" max="55" width="9.140625" style="23" customWidth="1"/>
    <col min="56" max="56" width="15.57421875" style="23" customWidth="1"/>
    <col min="57" max="57" width="15.57421875" style="341" customWidth="1"/>
    <col min="58" max="61" width="15.57421875" style="23" customWidth="1"/>
    <col min="62" max="62" width="8.140625" style="23" bestFit="1" customWidth="1"/>
    <col min="63" max="63" width="11.7109375" style="23" bestFit="1" customWidth="1"/>
    <col min="64" max="64" width="8.140625" style="23" customWidth="1"/>
    <col min="65" max="65" width="11.7109375" style="23" bestFit="1" customWidth="1"/>
    <col min="66" max="67" width="8.140625" style="23" customWidth="1"/>
    <col min="68" max="68" width="12.8515625" style="23" customWidth="1"/>
    <col min="69" max="69" width="8.140625" style="23" customWidth="1"/>
    <col min="70" max="70" width="11.8515625" style="23" customWidth="1"/>
    <col min="71" max="71" width="8.140625" style="23" bestFit="1" customWidth="1"/>
    <col min="72" max="16384" width="9.140625" style="23" customWidth="1"/>
  </cols>
  <sheetData>
    <row r="1" ht="12.75">
      <c r="A1" s="25"/>
    </row>
    <row r="2" ht="12.75"/>
    <row r="3" spans="1:75" ht="25.5" customHeight="1">
      <c r="A3" s="435" t="s">
        <v>545</v>
      </c>
      <c r="B3" s="6" t="s">
        <v>2</v>
      </c>
      <c r="C3" s="6" t="s">
        <v>3</v>
      </c>
      <c r="D3" s="6" t="s">
        <v>4</v>
      </c>
      <c r="E3" s="6" t="s">
        <v>5</v>
      </c>
      <c r="F3" s="12" t="s">
        <v>6</v>
      </c>
      <c r="G3" s="6" t="s">
        <v>12</v>
      </c>
      <c r="H3" s="6" t="s">
        <v>13</v>
      </c>
      <c r="I3" s="6" t="s">
        <v>14</v>
      </c>
      <c r="J3" s="6" t="s">
        <v>15</v>
      </c>
      <c r="K3" s="12" t="s">
        <v>16</v>
      </c>
      <c r="L3" s="6" t="s">
        <v>17</v>
      </c>
      <c r="M3" s="6" t="s">
        <v>18</v>
      </c>
      <c r="N3" s="6" t="s">
        <v>19</v>
      </c>
      <c r="O3" s="6" t="s">
        <v>20</v>
      </c>
      <c r="P3" s="12" t="s">
        <v>21</v>
      </c>
      <c r="Q3" s="6" t="s">
        <v>22</v>
      </c>
      <c r="R3" s="6" t="s">
        <v>23</v>
      </c>
      <c r="S3" s="6" t="s">
        <v>24</v>
      </c>
      <c r="T3" s="6" t="s">
        <v>25</v>
      </c>
      <c r="U3" s="12" t="s">
        <v>26</v>
      </c>
      <c r="V3" s="6" t="s">
        <v>27</v>
      </c>
      <c r="W3" s="6" t="s">
        <v>28</v>
      </c>
      <c r="X3" s="6" t="s">
        <v>29</v>
      </c>
      <c r="Y3" s="6" t="s">
        <v>30</v>
      </c>
      <c r="Z3" s="12" t="s">
        <v>31</v>
      </c>
      <c r="AA3" s="6" t="s">
        <v>32</v>
      </c>
      <c r="AB3" s="6" t="s">
        <v>33</v>
      </c>
      <c r="AC3" s="6" t="s">
        <v>34</v>
      </c>
      <c r="AD3" s="6" t="s">
        <v>271</v>
      </c>
      <c r="AE3" s="12" t="s">
        <v>272</v>
      </c>
      <c r="AF3" s="6" t="s">
        <v>274</v>
      </c>
      <c r="AG3" s="6" t="s">
        <v>276</v>
      </c>
      <c r="AH3" s="6" t="s">
        <v>278</v>
      </c>
      <c r="AI3" s="6" t="s">
        <v>280</v>
      </c>
      <c r="AJ3" s="12" t="s">
        <v>281</v>
      </c>
      <c r="AK3" s="6" t="s">
        <v>289</v>
      </c>
      <c r="AL3" s="6" t="s">
        <v>290</v>
      </c>
      <c r="AM3" s="6" t="s">
        <v>291</v>
      </c>
      <c r="AN3" s="6" t="s">
        <v>292</v>
      </c>
      <c r="AO3" s="12" t="s">
        <v>293</v>
      </c>
      <c r="AP3" s="6" t="s">
        <v>329</v>
      </c>
      <c r="AQ3" s="6" t="s">
        <v>330</v>
      </c>
      <c r="AR3" s="6" t="s">
        <v>331</v>
      </c>
      <c r="AS3" s="285" t="s">
        <v>490</v>
      </c>
      <c r="AT3" s="6" t="s">
        <v>332</v>
      </c>
      <c r="AU3" s="285" t="s">
        <v>477</v>
      </c>
      <c r="AV3" s="12" t="s">
        <v>333</v>
      </c>
      <c r="AW3" s="287" t="s">
        <v>460</v>
      </c>
      <c r="AX3" s="6" t="s">
        <v>448</v>
      </c>
      <c r="AY3" s="6" t="s">
        <v>451</v>
      </c>
      <c r="AZ3" s="6" t="s">
        <v>453</v>
      </c>
      <c r="BA3" s="285" t="s">
        <v>466</v>
      </c>
      <c r="BB3" s="285" t="s">
        <v>481</v>
      </c>
      <c r="BC3" s="6" t="s">
        <v>454</v>
      </c>
      <c r="BD3" s="354" t="s">
        <v>457</v>
      </c>
      <c r="BE3" s="361" t="s">
        <v>492</v>
      </c>
      <c r="BF3" s="6" t="s">
        <v>553</v>
      </c>
      <c r="BG3" s="6" t="s">
        <v>560</v>
      </c>
      <c r="BH3" s="6" t="s">
        <v>493</v>
      </c>
      <c r="BI3" s="6" t="s">
        <v>494</v>
      </c>
      <c r="BJ3" s="6" t="s">
        <v>495</v>
      </c>
      <c r="BK3" s="6" t="s">
        <v>598</v>
      </c>
      <c r="BL3" s="6" t="s">
        <v>554</v>
      </c>
      <c r="BM3" s="6" t="s">
        <v>614</v>
      </c>
      <c r="BN3" s="6" t="s">
        <v>561</v>
      </c>
      <c r="BO3" s="6" t="s">
        <v>570</v>
      </c>
      <c r="BP3" s="6" t="s">
        <v>596</v>
      </c>
      <c r="BQ3" s="6" t="s">
        <v>574</v>
      </c>
      <c r="BR3" s="6" t="s">
        <v>597</v>
      </c>
      <c r="BS3" s="6" t="s">
        <v>595</v>
      </c>
      <c r="BT3" s="6" t="s">
        <v>605</v>
      </c>
      <c r="BU3" s="6" t="s">
        <v>617</v>
      </c>
      <c r="BV3" s="6" t="s">
        <v>619</v>
      </c>
      <c r="BW3" s="6" t="s">
        <v>620</v>
      </c>
    </row>
    <row r="4" spans="1:75" ht="12.75" customHeight="1">
      <c r="A4" s="131" t="s">
        <v>524</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265"/>
      <c r="AT4" s="3"/>
      <c r="AU4" s="265"/>
      <c r="AV4" s="3"/>
      <c r="AW4" s="265"/>
      <c r="AX4" s="3"/>
      <c r="AY4" s="3"/>
      <c r="AZ4" s="3"/>
      <c r="BA4" s="265"/>
      <c r="BB4" s="265"/>
      <c r="BC4" s="3"/>
      <c r="BD4" s="3"/>
      <c r="BE4" s="360"/>
      <c r="BF4" s="3"/>
      <c r="BG4" s="3"/>
      <c r="BH4" s="3"/>
      <c r="BI4" s="3"/>
      <c r="BJ4" s="3"/>
      <c r="BK4" s="3"/>
      <c r="BL4" s="3"/>
      <c r="BM4" s="3"/>
      <c r="BN4" s="3"/>
      <c r="BO4" s="3"/>
      <c r="BP4" s="3"/>
      <c r="BQ4" s="3"/>
      <c r="BR4" s="3"/>
      <c r="BS4" s="3"/>
      <c r="BT4" s="3"/>
      <c r="BU4" s="3"/>
      <c r="BV4" s="3"/>
      <c r="BW4" s="3"/>
    </row>
    <row r="5" spans="1:75" ht="12.75">
      <c r="A5" s="31" t="s">
        <v>8</v>
      </c>
      <c r="B5" s="59">
        <v>26.352</v>
      </c>
      <c r="C5" s="59">
        <v>21.135</v>
      </c>
      <c r="D5" s="59">
        <v>17.969</v>
      </c>
      <c r="E5" s="59">
        <v>21.655</v>
      </c>
      <c r="F5" s="13">
        <v>87.111</v>
      </c>
      <c r="G5" s="59">
        <v>20.715</v>
      </c>
      <c r="H5" s="59">
        <v>16.601</v>
      </c>
      <c r="I5" s="59">
        <v>14.386</v>
      </c>
      <c r="J5" s="59">
        <v>17.429</v>
      </c>
      <c r="K5" s="13">
        <v>69.131</v>
      </c>
      <c r="L5" s="59">
        <v>23.816</v>
      </c>
      <c r="M5" s="59">
        <v>15.771</v>
      </c>
      <c r="N5" s="59">
        <v>13.131</v>
      </c>
      <c r="O5" s="59">
        <v>11.824</v>
      </c>
      <c r="P5" s="13">
        <v>64.542</v>
      </c>
      <c r="Q5" s="59">
        <v>17.554</v>
      </c>
      <c r="R5" s="59">
        <v>18.692</v>
      </c>
      <c r="S5" s="59">
        <v>24.717</v>
      </c>
      <c r="T5" s="59">
        <v>15.785</v>
      </c>
      <c r="U5" s="13">
        <v>76.748</v>
      </c>
      <c r="V5" s="59">
        <v>23.436</v>
      </c>
      <c r="W5" s="59">
        <v>30.589</v>
      </c>
      <c r="X5" s="59">
        <v>38.262</v>
      </c>
      <c r="Y5" s="59">
        <v>44.737</v>
      </c>
      <c r="Z5" s="13">
        <v>137.024</v>
      </c>
      <c r="AA5" s="59">
        <v>45.585</v>
      </c>
      <c r="AB5" s="59">
        <v>41.681</v>
      </c>
      <c r="AC5" s="59">
        <v>42.6</v>
      </c>
      <c r="AD5" s="59">
        <f>AE5-AC5-AB5-AA5</f>
        <v>26.734</v>
      </c>
      <c r="AE5" s="13">
        <v>156.6</v>
      </c>
      <c r="AF5" s="59">
        <v>26.9</v>
      </c>
      <c r="AG5" s="59">
        <v>30.2</v>
      </c>
      <c r="AH5" s="59">
        <v>34.1</v>
      </c>
      <c r="AI5" s="59">
        <v>28.1</v>
      </c>
      <c r="AJ5" s="13">
        <v>119.3</v>
      </c>
      <c r="AK5" s="59">
        <v>96.4</v>
      </c>
      <c r="AL5" s="59">
        <v>37.2</v>
      </c>
      <c r="AM5" s="59">
        <v>43.4</v>
      </c>
      <c r="AN5" s="59">
        <v>50.8</v>
      </c>
      <c r="AO5" s="13">
        <v>227.8</v>
      </c>
      <c r="AP5" s="59">
        <v>56.4</v>
      </c>
      <c r="AQ5" s="59">
        <v>28.1</v>
      </c>
      <c r="AR5" s="59">
        <v>56.4</v>
      </c>
      <c r="AS5" s="282">
        <v>132.67200000000003</v>
      </c>
      <c r="AT5" s="59">
        <v>65.1</v>
      </c>
      <c r="AU5" s="282">
        <v>71.628</v>
      </c>
      <c r="AV5" s="13">
        <v>206</v>
      </c>
      <c r="AW5" s="277">
        <v>204.3</v>
      </c>
      <c r="AX5" s="59">
        <v>86.5</v>
      </c>
      <c r="AY5" s="59">
        <v>65.969</v>
      </c>
      <c r="AZ5" s="59">
        <v>110.3</v>
      </c>
      <c r="BA5" s="282">
        <v>97.7</v>
      </c>
      <c r="BB5" s="282">
        <v>225.5</v>
      </c>
      <c r="BC5" s="59">
        <v>110.8</v>
      </c>
      <c r="BD5" s="355">
        <v>336.3</v>
      </c>
      <c r="BE5" s="353">
        <v>88.5</v>
      </c>
      <c r="BF5" s="59">
        <v>63.5</v>
      </c>
      <c r="BG5" s="59">
        <v>104.5</v>
      </c>
      <c r="BH5" s="59">
        <v>107.7</v>
      </c>
      <c r="BI5" s="9">
        <v>364.2</v>
      </c>
      <c r="BJ5" s="59">
        <v>115.4</v>
      </c>
      <c r="BK5" s="59">
        <v>115.4</v>
      </c>
      <c r="BL5" s="59">
        <v>114.5</v>
      </c>
      <c r="BM5" s="59">
        <v>114.5</v>
      </c>
      <c r="BN5" s="59">
        <v>116.7</v>
      </c>
      <c r="BO5" s="59">
        <v>130.2</v>
      </c>
      <c r="BP5" s="59">
        <v>129.3</v>
      </c>
      <c r="BQ5" s="9">
        <v>476.8</v>
      </c>
      <c r="BR5" s="9">
        <v>475.9</v>
      </c>
      <c r="BS5" s="59">
        <v>99.5</v>
      </c>
      <c r="BT5" s="59">
        <v>94.5</v>
      </c>
      <c r="BU5" s="59">
        <v>99.018</v>
      </c>
      <c r="BV5" s="59">
        <v>108.5</v>
      </c>
      <c r="BW5" s="9">
        <v>401.5</v>
      </c>
    </row>
    <row r="6" spans="1:75" s="24" customFormat="1" ht="12.75">
      <c r="A6" s="29" t="s">
        <v>35</v>
      </c>
      <c r="B6" s="60">
        <v>22.47</v>
      </c>
      <c r="C6" s="60">
        <v>17.301</v>
      </c>
      <c r="D6" s="60">
        <v>13.073</v>
      </c>
      <c r="E6" s="60">
        <v>14.32</v>
      </c>
      <c r="F6" s="14">
        <v>67.164</v>
      </c>
      <c r="G6" s="60">
        <v>16.628</v>
      </c>
      <c r="H6" s="60">
        <v>12.046</v>
      </c>
      <c r="I6" s="60">
        <v>10.587</v>
      </c>
      <c r="J6" s="60">
        <v>12.094</v>
      </c>
      <c r="K6" s="14">
        <v>51.355</v>
      </c>
      <c r="L6" s="60">
        <v>17.963</v>
      </c>
      <c r="M6" s="60">
        <v>11.193</v>
      </c>
      <c r="N6" s="60">
        <v>8.204</v>
      </c>
      <c r="O6" s="60">
        <v>6.134</v>
      </c>
      <c r="P6" s="14">
        <v>43.494</v>
      </c>
      <c r="Q6" s="60">
        <v>11.959</v>
      </c>
      <c r="R6" s="60">
        <v>12.851</v>
      </c>
      <c r="S6" s="60">
        <v>18.915</v>
      </c>
      <c r="T6" s="60">
        <v>10.442</v>
      </c>
      <c r="U6" s="14">
        <v>54.167</v>
      </c>
      <c r="V6" s="60">
        <v>16.994</v>
      </c>
      <c r="W6" s="60">
        <v>24.124</v>
      </c>
      <c r="X6" s="60">
        <v>32.834</v>
      </c>
      <c r="Y6" s="60">
        <v>31.422</v>
      </c>
      <c r="Z6" s="14">
        <v>105.374</v>
      </c>
      <c r="AA6" s="60">
        <v>38.2</v>
      </c>
      <c r="AB6" s="60">
        <v>32.474</v>
      </c>
      <c r="AC6" s="60">
        <v>34.9</v>
      </c>
      <c r="AD6" s="60">
        <f>AE6-AC6-AB6-AA6</f>
        <v>14.826</v>
      </c>
      <c r="AE6" s="14">
        <v>120.4</v>
      </c>
      <c r="AF6" s="60">
        <v>17.1</v>
      </c>
      <c r="AG6" s="60">
        <v>23.5</v>
      </c>
      <c r="AH6" s="60">
        <v>20.1</v>
      </c>
      <c r="AI6" s="60">
        <v>18.1</v>
      </c>
      <c r="AJ6" s="14">
        <v>78.9</v>
      </c>
      <c r="AK6" s="60">
        <v>89.2</v>
      </c>
      <c r="AL6" s="60">
        <v>30.6</v>
      </c>
      <c r="AM6" s="60">
        <v>32.9</v>
      </c>
      <c r="AN6" s="60">
        <v>38.4</v>
      </c>
      <c r="AO6" s="14">
        <v>191.1</v>
      </c>
      <c r="AP6" s="60">
        <v>46</v>
      </c>
      <c r="AQ6" s="60">
        <v>15.2</v>
      </c>
      <c r="AR6" s="60">
        <v>35.1</v>
      </c>
      <c r="AS6" s="283">
        <v>88.01399999999998</v>
      </c>
      <c r="AT6" s="60">
        <v>30.3</v>
      </c>
      <c r="AU6" s="283">
        <v>48.686</v>
      </c>
      <c r="AV6" s="14">
        <v>126.6</v>
      </c>
      <c r="AW6" s="278">
        <v>136.7</v>
      </c>
      <c r="AX6" s="60">
        <v>52.2</v>
      </c>
      <c r="AY6" s="60">
        <v>38.317</v>
      </c>
      <c r="AZ6" s="60">
        <v>81.3</v>
      </c>
      <c r="BA6" s="283">
        <v>68.7</v>
      </c>
      <c r="BB6" s="283">
        <v>134.5</v>
      </c>
      <c r="BC6" s="60">
        <v>74.3</v>
      </c>
      <c r="BD6" s="356">
        <v>208.8</v>
      </c>
      <c r="BE6" s="344">
        <v>54.2</v>
      </c>
      <c r="BF6" s="60">
        <v>35.9</v>
      </c>
      <c r="BG6" s="60">
        <v>75.5</v>
      </c>
      <c r="BH6" s="60">
        <v>71.1</v>
      </c>
      <c r="BI6" s="11">
        <v>236.5</v>
      </c>
      <c r="BJ6" s="60">
        <v>83.8</v>
      </c>
      <c r="BK6" s="60">
        <v>83.8</v>
      </c>
      <c r="BL6" s="60">
        <v>73.8</v>
      </c>
      <c r="BM6" s="60">
        <v>73.8</v>
      </c>
      <c r="BN6" s="60">
        <v>76.8</v>
      </c>
      <c r="BO6" s="60">
        <v>87.4</v>
      </c>
      <c r="BP6" s="60">
        <v>87.3</v>
      </c>
      <c r="BQ6" s="11">
        <v>321.8</v>
      </c>
      <c r="BR6" s="11">
        <v>321.6</v>
      </c>
      <c r="BS6" s="60">
        <v>66.5</v>
      </c>
      <c r="BT6" s="60">
        <v>59.8</v>
      </c>
      <c r="BU6" s="60">
        <v>71.688</v>
      </c>
      <c r="BV6" s="60">
        <v>56.4</v>
      </c>
      <c r="BW6" s="11">
        <v>254.4</v>
      </c>
    </row>
    <row r="7" spans="1:75" ht="14.25">
      <c r="A7" s="31" t="s">
        <v>311</v>
      </c>
      <c r="B7" s="59">
        <v>4.1</v>
      </c>
      <c r="C7" s="59">
        <v>6</v>
      </c>
      <c r="D7" s="59">
        <v>7</v>
      </c>
      <c r="E7" s="59">
        <v>6.5</v>
      </c>
      <c r="F7" s="13">
        <v>23.6</v>
      </c>
      <c r="G7" s="59">
        <v>3.4</v>
      </c>
      <c r="H7" s="59">
        <v>6.1</v>
      </c>
      <c r="I7" s="59">
        <v>6.4</v>
      </c>
      <c r="J7" s="59">
        <v>10.3</v>
      </c>
      <c r="K7" s="13">
        <v>26.2</v>
      </c>
      <c r="L7" s="59">
        <v>26.2</v>
      </c>
      <c r="M7" s="59">
        <v>13</v>
      </c>
      <c r="N7" s="59">
        <v>6.5</v>
      </c>
      <c r="O7" s="59">
        <v>12.8</v>
      </c>
      <c r="P7" s="13">
        <v>58.5</v>
      </c>
      <c r="Q7" s="59">
        <v>6.7</v>
      </c>
      <c r="R7" s="59">
        <v>6.6</v>
      </c>
      <c r="S7" s="59">
        <v>7</v>
      </c>
      <c r="T7" s="59">
        <v>10.8</v>
      </c>
      <c r="U7" s="13">
        <v>31.1</v>
      </c>
      <c r="V7" s="59">
        <v>6.4</v>
      </c>
      <c r="W7" s="59">
        <v>7.5</v>
      </c>
      <c r="X7" s="59">
        <v>9.9</v>
      </c>
      <c r="Y7" s="59">
        <v>10.6</v>
      </c>
      <c r="Z7" s="13">
        <v>34.4</v>
      </c>
      <c r="AA7" s="59">
        <v>5.3</v>
      </c>
      <c r="AB7" s="59">
        <v>10.1</v>
      </c>
      <c r="AC7" s="59">
        <v>8.4</v>
      </c>
      <c r="AD7" s="59">
        <v>55.8</v>
      </c>
      <c r="AE7" s="13">
        <v>79.6</v>
      </c>
      <c r="AF7" s="59">
        <v>7.4</v>
      </c>
      <c r="AG7" s="59">
        <v>15.9</v>
      </c>
      <c r="AH7" s="59">
        <v>14.1</v>
      </c>
      <c r="AI7" s="59">
        <v>19.3</v>
      </c>
      <c r="AJ7" s="13">
        <v>56.7</v>
      </c>
      <c r="AK7" s="59">
        <v>17.6</v>
      </c>
      <c r="AL7" s="59">
        <v>13.3</v>
      </c>
      <c r="AM7" s="59">
        <v>24.4</v>
      </c>
      <c r="AN7" s="59">
        <v>18.2</v>
      </c>
      <c r="AO7" s="13">
        <v>73.6</v>
      </c>
      <c r="AP7" s="59">
        <v>11.4</v>
      </c>
      <c r="AQ7" s="59">
        <v>84.8</v>
      </c>
      <c r="AR7" s="59">
        <v>49.2</v>
      </c>
      <c r="AS7" s="282"/>
      <c r="AT7" s="59">
        <v>41.1</v>
      </c>
      <c r="AU7" s="282"/>
      <c r="AV7" s="13">
        <v>186.6</v>
      </c>
      <c r="AW7" s="277">
        <v>186.6</v>
      </c>
      <c r="AX7" s="59">
        <v>29.8</v>
      </c>
      <c r="AY7" s="23">
        <v>26.6</v>
      </c>
      <c r="AZ7" s="23">
        <v>28.6</v>
      </c>
      <c r="BA7" s="27">
        <v>28.6</v>
      </c>
      <c r="BC7" s="23">
        <v>38.2</v>
      </c>
      <c r="BD7" s="355">
        <v>123.2</v>
      </c>
      <c r="BE7" s="341">
        <v>29.8</v>
      </c>
      <c r="BF7" s="23">
        <v>26.6</v>
      </c>
      <c r="BG7" s="23">
        <v>28.6</v>
      </c>
      <c r="BH7" s="235">
        <v>38</v>
      </c>
      <c r="BI7" s="9">
        <v>123</v>
      </c>
      <c r="BJ7" s="3">
        <v>16</v>
      </c>
      <c r="BK7" s="3">
        <v>16</v>
      </c>
      <c r="BL7" s="3">
        <v>20.7</v>
      </c>
      <c r="BM7" s="3">
        <v>20.7</v>
      </c>
      <c r="BN7" s="3">
        <v>26.6</v>
      </c>
      <c r="BO7" s="3">
        <v>47.7</v>
      </c>
      <c r="BP7" s="3">
        <v>48.6</v>
      </c>
      <c r="BQ7" s="9">
        <v>110.9</v>
      </c>
      <c r="BR7" s="9">
        <v>111.8</v>
      </c>
      <c r="BS7" s="3">
        <v>21.2</v>
      </c>
      <c r="BT7" s="3">
        <v>28.3</v>
      </c>
      <c r="BU7" s="3">
        <v>36.171</v>
      </c>
      <c r="BV7" s="3">
        <v>54</v>
      </c>
      <c r="BW7" s="9">
        <v>139.6</v>
      </c>
    </row>
    <row r="8" ht="12.75">
      <c r="A8" s="436"/>
    </row>
    <row r="9" spans="1:49" ht="15.75">
      <c r="A9" s="3" t="s">
        <v>478</v>
      </c>
      <c r="AV9" s="262"/>
      <c r="AW9" s="288"/>
    </row>
    <row r="10" ht="12.75">
      <c r="A10" s="3" t="s">
        <v>523</v>
      </c>
    </row>
    <row r="11" ht="27">
      <c r="A11" s="28" t="s">
        <v>312</v>
      </c>
    </row>
    <row r="12" ht="14.25">
      <c r="A12" s="28"/>
    </row>
    <row r="13" spans="1:71" ht="25.5" customHeight="1">
      <c r="A13" s="175" t="s">
        <v>367</v>
      </c>
      <c r="B13" s="6" t="s">
        <v>2</v>
      </c>
      <c r="C13" s="6" t="s">
        <v>3</v>
      </c>
      <c r="D13" s="6" t="s">
        <v>4</v>
      </c>
      <c r="E13" s="6" t="s">
        <v>5</v>
      </c>
      <c r="F13" s="12" t="s">
        <v>6</v>
      </c>
      <c r="G13" s="6" t="s">
        <v>12</v>
      </c>
      <c r="H13" s="6" t="s">
        <v>13</v>
      </c>
      <c r="I13" s="6" t="s">
        <v>14</v>
      </c>
      <c r="J13" s="6" t="s">
        <v>15</v>
      </c>
      <c r="K13" s="12" t="s">
        <v>16</v>
      </c>
      <c r="L13" s="6" t="s">
        <v>17</v>
      </c>
      <c r="M13" s="6" t="s">
        <v>18</v>
      </c>
      <c r="N13" s="6" t="s">
        <v>19</v>
      </c>
      <c r="O13" s="6" t="s">
        <v>20</v>
      </c>
      <c r="P13" s="12" t="s">
        <v>21</v>
      </c>
      <c r="Q13" s="6" t="s">
        <v>22</v>
      </c>
      <c r="R13" s="6" t="s">
        <v>23</v>
      </c>
      <c r="S13" s="6" t="s">
        <v>24</v>
      </c>
      <c r="T13" s="6" t="s">
        <v>25</v>
      </c>
      <c r="U13" s="12" t="s">
        <v>26</v>
      </c>
      <c r="V13" s="175" t="s">
        <v>27</v>
      </c>
      <c r="W13" s="175" t="s">
        <v>28</v>
      </c>
      <c r="X13" s="175" t="s">
        <v>29</v>
      </c>
      <c r="Y13" s="175" t="s">
        <v>30</v>
      </c>
      <c r="Z13" s="175" t="s">
        <v>31</v>
      </c>
      <c r="AA13" s="175" t="s">
        <v>32</v>
      </c>
      <c r="AB13" s="175" t="s">
        <v>33</v>
      </c>
      <c r="AC13" s="175" t="s">
        <v>34</v>
      </c>
      <c r="AD13" s="175" t="s">
        <v>271</v>
      </c>
      <c r="AE13" s="175" t="s">
        <v>272</v>
      </c>
      <c r="AF13" s="175" t="s">
        <v>274</v>
      </c>
      <c r="AG13" s="175" t="s">
        <v>276</v>
      </c>
      <c r="AH13" s="175" t="s">
        <v>278</v>
      </c>
      <c r="AI13" s="175" t="s">
        <v>280</v>
      </c>
      <c r="AJ13" s="175" t="s">
        <v>281</v>
      </c>
      <c r="AK13" s="175" t="s">
        <v>289</v>
      </c>
      <c r="AL13" s="175" t="s">
        <v>290</v>
      </c>
      <c r="AM13" s="175" t="s">
        <v>291</v>
      </c>
      <c r="AN13" s="175" t="s">
        <v>292</v>
      </c>
      <c r="AO13" s="175" t="s">
        <v>293</v>
      </c>
      <c r="AP13" s="175" t="s">
        <v>329</v>
      </c>
      <c r="AQ13" s="175" t="s">
        <v>330</v>
      </c>
      <c r="AR13" s="175" t="s">
        <v>331</v>
      </c>
      <c r="AS13" s="284"/>
      <c r="AT13" s="175" t="s">
        <v>332</v>
      </c>
      <c r="AU13" s="286"/>
      <c r="AV13" s="175" t="s">
        <v>333</v>
      </c>
      <c r="AW13" s="286"/>
      <c r="AX13" s="175" t="s">
        <v>448</v>
      </c>
      <c r="AY13" s="175" t="s">
        <v>451</v>
      </c>
      <c r="AZ13" s="175" t="s">
        <v>453</v>
      </c>
      <c r="BA13" s="284"/>
      <c r="BB13" s="284"/>
      <c r="BC13" s="175" t="s">
        <v>454</v>
      </c>
      <c r="BD13" s="175" t="s">
        <v>457</v>
      </c>
      <c r="BE13" s="369"/>
      <c r="BF13" s="324"/>
      <c r="BG13" s="324"/>
      <c r="BH13" s="324"/>
      <c r="BI13" s="324"/>
      <c r="BJ13" s="324"/>
      <c r="BK13" s="324"/>
      <c r="BL13" s="324"/>
      <c r="BM13" s="324"/>
      <c r="BN13" s="324"/>
      <c r="BO13" s="324"/>
      <c r="BP13" s="324"/>
      <c r="BQ13" s="324"/>
      <c r="BR13" s="324"/>
      <c r="BS13" s="324"/>
    </row>
    <row r="14" spans="2:71" ht="12.7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265"/>
      <c r="AT14" s="3"/>
      <c r="AU14" s="265"/>
      <c r="AV14" s="3"/>
      <c r="AW14" s="265"/>
      <c r="AX14" s="3"/>
      <c r="AY14" s="3"/>
      <c r="AZ14" s="3"/>
      <c r="BA14" s="265"/>
      <c r="BB14" s="265"/>
      <c r="BC14" s="3"/>
      <c r="BD14" s="3"/>
      <c r="BE14" s="347"/>
      <c r="BF14" s="223"/>
      <c r="BG14" s="223"/>
      <c r="BH14" s="223"/>
      <c r="BI14" s="223"/>
      <c r="BJ14" s="223"/>
      <c r="BK14" s="223"/>
      <c r="BL14" s="223"/>
      <c r="BM14" s="223"/>
      <c r="BN14" s="223"/>
      <c r="BO14" s="223"/>
      <c r="BP14" s="223"/>
      <c r="BQ14" s="223"/>
      <c r="BR14" s="223"/>
      <c r="BS14" s="223"/>
    </row>
    <row r="15" spans="1:71" ht="12.75">
      <c r="A15" s="178" t="s">
        <v>8</v>
      </c>
      <c r="B15" s="59">
        <v>26.352</v>
      </c>
      <c r="C15" s="59">
        <v>21.135</v>
      </c>
      <c r="D15" s="59">
        <v>17.969</v>
      </c>
      <c r="E15" s="59">
        <v>21.655</v>
      </c>
      <c r="F15" s="13">
        <v>87.111</v>
      </c>
      <c r="G15" s="59">
        <v>20.715</v>
      </c>
      <c r="H15" s="59">
        <v>16.601</v>
      </c>
      <c r="I15" s="59">
        <v>14.386</v>
      </c>
      <c r="J15" s="59">
        <v>17.429</v>
      </c>
      <c r="K15" s="13">
        <v>69.131</v>
      </c>
      <c r="L15" s="59">
        <v>23.816</v>
      </c>
      <c r="M15" s="59">
        <v>15.771</v>
      </c>
      <c r="N15" s="59">
        <v>13.131</v>
      </c>
      <c r="O15" s="59">
        <v>11.824</v>
      </c>
      <c r="P15" s="13">
        <v>64.542</v>
      </c>
      <c r="Q15" s="59">
        <v>17.554</v>
      </c>
      <c r="R15" s="59">
        <v>18.692</v>
      </c>
      <c r="S15" s="59">
        <v>24.717</v>
      </c>
      <c r="T15" s="59">
        <v>15.785</v>
      </c>
      <c r="U15" s="13">
        <v>76.748</v>
      </c>
      <c r="V15" s="59">
        <v>23.436</v>
      </c>
      <c r="W15" s="59">
        <v>30.589</v>
      </c>
      <c r="X15" s="59">
        <v>38.262</v>
      </c>
      <c r="Y15" s="59">
        <v>44.737</v>
      </c>
      <c r="Z15" s="195">
        <v>137.024</v>
      </c>
      <c r="AA15" s="59">
        <v>45.585</v>
      </c>
      <c r="AB15" s="59">
        <v>41.681</v>
      </c>
      <c r="AC15" s="59">
        <v>42.6</v>
      </c>
      <c r="AD15" s="59">
        <f>AE15-AC15-AB15-AA15</f>
        <v>26.734</v>
      </c>
      <c r="AE15" s="195">
        <v>156.6</v>
      </c>
      <c r="AF15" s="59">
        <v>26.9</v>
      </c>
      <c r="AG15" s="59">
        <v>30.2</v>
      </c>
      <c r="AH15" s="59">
        <v>34.1</v>
      </c>
      <c r="AI15" s="59">
        <v>28.1</v>
      </c>
      <c r="AJ15" s="195">
        <v>119.3</v>
      </c>
      <c r="AK15" s="59">
        <v>96.4</v>
      </c>
      <c r="AL15" s="59">
        <v>37.2</v>
      </c>
      <c r="AM15" s="59">
        <v>43.4</v>
      </c>
      <c r="AN15" s="59">
        <v>50.8</v>
      </c>
      <c r="AO15" s="195">
        <v>227.8</v>
      </c>
      <c r="AP15" s="59">
        <v>56.4</v>
      </c>
      <c r="AQ15" s="59">
        <v>28.1</v>
      </c>
      <c r="AR15" s="59">
        <v>27.9</v>
      </c>
      <c r="AS15" s="282"/>
      <c r="AT15" s="59">
        <v>31.5</v>
      </c>
      <c r="AU15" s="282"/>
      <c r="AV15" s="195">
        <v>143.9</v>
      </c>
      <c r="AW15" s="280"/>
      <c r="AX15" s="59">
        <v>34.8</v>
      </c>
      <c r="AY15" s="59">
        <v>3.925</v>
      </c>
      <c r="AZ15" s="59">
        <v>46.5</v>
      </c>
      <c r="BA15" s="282"/>
      <c r="BB15" s="282"/>
      <c r="BC15" s="59">
        <v>46.3</v>
      </c>
      <c r="BD15" s="358">
        <v>131.6</v>
      </c>
      <c r="BE15" s="347"/>
      <c r="BF15" s="223"/>
      <c r="BG15" s="223"/>
      <c r="BH15" s="223"/>
      <c r="BI15" s="223"/>
      <c r="BJ15" s="223"/>
      <c r="BK15" s="223"/>
      <c r="BL15" s="223"/>
      <c r="BM15" s="223"/>
      <c r="BN15" s="223"/>
      <c r="BO15" s="223"/>
      <c r="BP15" s="223"/>
      <c r="BQ15" s="223"/>
      <c r="BR15" s="223"/>
      <c r="BS15" s="223"/>
    </row>
    <row r="16" spans="1:71" ht="12.75">
      <c r="A16" s="179" t="s">
        <v>35</v>
      </c>
      <c r="B16" s="60">
        <v>22.47</v>
      </c>
      <c r="C16" s="60">
        <v>17.301</v>
      </c>
      <c r="D16" s="60">
        <v>13.073</v>
      </c>
      <c r="E16" s="60">
        <v>14.32</v>
      </c>
      <c r="F16" s="14">
        <v>67.164</v>
      </c>
      <c r="G16" s="60">
        <v>16.628</v>
      </c>
      <c r="H16" s="60">
        <v>12.046</v>
      </c>
      <c r="I16" s="60">
        <v>10.587</v>
      </c>
      <c r="J16" s="60">
        <v>12.094</v>
      </c>
      <c r="K16" s="14">
        <v>51.355</v>
      </c>
      <c r="L16" s="60">
        <v>17.963</v>
      </c>
      <c r="M16" s="60">
        <v>11.193</v>
      </c>
      <c r="N16" s="60">
        <v>8.204</v>
      </c>
      <c r="O16" s="60">
        <v>6.134</v>
      </c>
      <c r="P16" s="14">
        <v>43.494</v>
      </c>
      <c r="Q16" s="60">
        <v>11.959</v>
      </c>
      <c r="R16" s="60">
        <v>12.851</v>
      </c>
      <c r="S16" s="60">
        <v>18.915</v>
      </c>
      <c r="T16" s="60">
        <v>10.442</v>
      </c>
      <c r="U16" s="14">
        <v>54.167</v>
      </c>
      <c r="V16" s="60">
        <v>16.994</v>
      </c>
      <c r="W16" s="60">
        <v>24.124</v>
      </c>
      <c r="X16" s="60">
        <v>32.834</v>
      </c>
      <c r="Y16" s="60">
        <v>31.422</v>
      </c>
      <c r="Z16" s="196">
        <v>105.374</v>
      </c>
      <c r="AA16" s="60">
        <v>38.2</v>
      </c>
      <c r="AB16" s="60">
        <v>32.474</v>
      </c>
      <c r="AC16" s="60">
        <v>34.9</v>
      </c>
      <c r="AD16" s="60">
        <f>AE16-AC16-AB16-AA16</f>
        <v>14.826</v>
      </c>
      <c r="AE16" s="196">
        <v>120.4</v>
      </c>
      <c r="AF16" s="60">
        <v>17.1</v>
      </c>
      <c r="AG16" s="60">
        <v>23.5</v>
      </c>
      <c r="AH16" s="60">
        <v>20.1</v>
      </c>
      <c r="AI16" s="60">
        <v>18.1</v>
      </c>
      <c r="AJ16" s="196">
        <v>78.9</v>
      </c>
      <c r="AK16" s="60">
        <v>89.2</v>
      </c>
      <c r="AL16" s="60">
        <v>30.6</v>
      </c>
      <c r="AM16" s="60">
        <v>32.9</v>
      </c>
      <c r="AN16" s="60">
        <v>38.4</v>
      </c>
      <c r="AO16" s="196">
        <v>191</v>
      </c>
      <c r="AP16" s="60">
        <v>46</v>
      </c>
      <c r="AQ16" s="60">
        <v>15.2</v>
      </c>
      <c r="AR16" s="60">
        <v>18.3</v>
      </c>
      <c r="AS16" s="282"/>
      <c r="AT16" s="60">
        <v>29.1</v>
      </c>
      <c r="AU16" s="283"/>
      <c r="AV16" s="196">
        <v>108.7</v>
      </c>
      <c r="AW16" s="281"/>
      <c r="AX16" s="60">
        <v>23.6</v>
      </c>
      <c r="AY16" s="60">
        <v>-6.202</v>
      </c>
      <c r="AZ16" s="60">
        <v>38.8</v>
      </c>
      <c r="BA16" s="283"/>
      <c r="BB16" s="282"/>
      <c r="BC16" s="60">
        <v>30.7</v>
      </c>
      <c r="BD16" s="359">
        <v>86.8</v>
      </c>
      <c r="BE16" s="346"/>
      <c r="BF16" s="221"/>
      <c r="BG16" s="221"/>
      <c r="BH16" s="221"/>
      <c r="BI16" s="221"/>
      <c r="BJ16" s="221"/>
      <c r="BK16" s="221"/>
      <c r="BL16" s="221"/>
      <c r="BM16" s="221"/>
      <c r="BN16" s="221"/>
      <c r="BO16" s="221"/>
      <c r="BP16" s="221"/>
      <c r="BQ16" s="221"/>
      <c r="BR16" s="221"/>
      <c r="BS16" s="221"/>
    </row>
    <row r="17" spans="1:71" ht="14.25">
      <c r="A17" s="178" t="s">
        <v>311</v>
      </c>
      <c r="B17" s="59">
        <v>4.1</v>
      </c>
      <c r="C17" s="59">
        <v>6</v>
      </c>
      <c r="D17" s="59">
        <v>7</v>
      </c>
      <c r="E17" s="59">
        <v>6.5</v>
      </c>
      <c r="F17" s="13">
        <v>23.6</v>
      </c>
      <c r="G17" s="59">
        <v>3.4</v>
      </c>
      <c r="H17" s="59">
        <v>6.1</v>
      </c>
      <c r="I17" s="59">
        <v>6.4</v>
      </c>
      <c r="J17" s="59">
        <v>10.3</v>
      </c>
      <c r="K17" s="13">
        <v>26.2</v>
      </c>
      <c r="L17" s="59">
        <v>26.2</v>
      </c>
      <c r="M17" s="59">
        <v>13</v>
      </c>
      <c r="N17" s="59">
        <v>6.5</v>
      </c>
      <c r="O17" s="59">
        <v>12.8</v>
      </c>
      <c r="P17" s="13">
        <v>58.5</v>
      </c>
      <c r="Q17" s="59">
        <v>6.7</v>
      </c>
      <c r="R17" s="59">
        <v>6.6</v>
      </c>
      <c r="S17" s="59">
        <v>7</v>
      </c>
      <c r="T17" s="59">
        <v>10.8</v>
      </c>
      <c r="U17" s="13">
        <v>31.1</v>
      </c>
      <c r="V17" s="59">
        <v>6.4</v>
      </c>
      <c r="W17" s="59">
        <v>7.5</v>
      </c>
      <c r="X17" s="59">
        <v>9.9</v>
      </c>
      <c r="Y17" s="59">
        <v>10.6</v>
      </c>
      <c r="Z17" s="195">
        <v>34.4</v>
      </c>
      <c r="AA17" s="59">
        <v>5.3</v>
      </c>
      <c r="AB17" s="59">
        <v>10.1</v>
      </c>
      <c r="AC17" s="59">
        <v>8.4</v>
      </c>
      <c r="AD17" s="59">
        <v>55.8</v>
      </c>
      <c r="AE17" s="195">
        <v>79.6</v>
      </c>
      <c r="AF17" s="59">
        <v>7.4</v>
      </c>
      <c r="AG17" s="59">
        <v>15.9</v>
      </c>
      <c r="AH17" s="59">
        <v>14.1</v>
      </c>
      <c r="AI17" s="59">
        <v>19.3</v>
      </c>
      <c r="AJ17" s="195">
        <v>56.7</v>
      </c>
      <c r="AK17" s="59">
        <v>17.6</v>
      </c>
      <c r="AL17" s="59">
        <v>13.3</v>
      </c>
      <c r="AM17" s="59">
        <v>24.4</v>
      </c>
      <c r="AN17" s="59">
        <v>18.2</v>
      </c>
      <c r="AO17" s="195">
        <v>73.6</v>
      </c>
      <c r="AP17" s="59">
        <v>11.4</v>
      </c>
      <c r="AQ17" s="59">
        <v>84.8</v>
      </c>
      <c r="AR17" s="59">
        <v>12.8</v>
      </c>
      <c r="AS17" s="282"/>
      <c r="AT17" s="59">
        <v>20.9</v>
      </c>
      <c r="AU17" s="282"/>
      <c r="AV17" s="195">
        <v>129.9</v>
      </c>
      <c r="AW17" s="280"/>
      <c r="AX17" s="59">
        <v>11.1</v>
      </c>
      <c r="AY17" s="23">
        <v>16.8</v>
      </c>
      <c r="AZ17" s="23">
        <v>17.2</v>
      </c>
      <c r="BC17" s="23">
        <v>24.1</v>
      </c>
      <c r="BD17" s="358">
        <v>69.3</v>
      </c>
      <c r="BE17" s="347"/>
      <c r="BF17" s="223"/>
      <c r="BG17" s="223"/>
      <c r="BH17" s="223"/>
      <c r="BI17" s="223"/>
      <c r="BJ17" s="223"/>
      <c r="BK17" s="223"/>
      <c r="BL17" s="223"/>
      <c r="BM17" s="223"/>
      <c r="BN17" s="223"/>
      <c r="BO17" s="223"/>
      <c r="BP17" s="223"/>
      <c r="BQ17" s="223"/>
      <c r="BR17" s="223"/>
      <c r="BS17" s="223"/>
    </row>
    <row r="18" ht="12.75">
      <c r="A18" s="27"/>
    </row>
    <row r="19" ht="27">
      <c r="A19" s="28" t="s">
        <v>312</v>
      </c>
    </row>
    <row r="20" spans="50:51" ht="12.75">
      <c r="AX20" s="260"/>
      <c r="AY20" s="235"/>
    </row>
    <row r="21" spans="1:51" ht="12.75">
      <c r="A21" s="3"/>
      <c r="AX21" s="261"/>
      <c r="AY21" s="235"/>
    </row>
    <row r="22" ht="12.75">
      <c r="A22" s="405"/>
    </row>
    <row r="23" ht="12.75"/>
  </sheetData>
  <sheetProtection/>
  <printOptions/>
  <pageMargins left="0.75" right="0.75" top="1" bottom="1" header="0.5" footer="0.5"/>
  <pageSetup fitToHeight="1" fitToWidth="1" horizontalDpi="300" verticalDpi="300" orientation="landscape" paperSize="9" scale="26" r:id="rId1"/>
</worksheet>
</file>

<file path=xl/worksheets/sheet5.xml><?xml version="1.0" encoding="utf-8"?>
<worksheet xmlns="http://schemas.openxmlformats.org/spreadsheetml/2006/main" xmlns:r="http://schemas.openxmlformats.org/officeDocument/2006/relationships">
  <sheetPr>
    <tabColor indexed="50"/>
    <pageSetUpPr fitToPage="1"/>
  </sheetPr>
  <dimension ref="A1:GF77"/>
  <sheetViews>
    <sheetView zoomScalePageLayoutView="0" workbookViewId="0" topLeftCell="A1">
      <pane xSplit="1" ySplit="1" topLeftCell="AY2" activePane="bottomRight" state="frozen"/>
      <selection pane="topLeft" activeCell="V51" sqref="V51"/>
      <selection pane="topRight" activeCell="V51" sqref="V51"/>
      <selection pane="bottomLeft" activeCell="V51" sqref="V51"/>
      <selection pane="bottomRight" activeCell="A1" sqref="A1"/>
    </sheetView>
  </sheetViews>
  <sheetFormatPr defaultColWidth="9.140625" defaultRowHeight="12.75" zeroHeight="1" outlineLevelCol="1"/>
  <cols>
    <col min="1" max="1" width="62.140625" style="23" customWidth="1"/>
    <col min="2" max="21" width="10.7109375" style="23" hidden="1" customWidth="1" outlineLevel="1"/>
    <col min="22" max="41" width="10.7109375" style="23" hidden="1" customWidth="1"/>
    <col min="42" max="42" width="10.8515625" style="23" customWidth="1"/>
    <col min="43" max="43" width="10.421875" style="23" customWidth="1"/>
    <col min="44" max="44" width="12.00390625" style="23" customWidth="1"/>
    <col min="45" max="45" width="10.7109375" style="23" customWidth="1"/>
    <col min="46" max="46" width="11.00390625" style="23" customWidth="1"/>
    <col min="47" max="49" width="10.8515625" style="23" customWidth="1"/>
    <col min="50" max="50" width="13.00390625" style="23" customWidth="1"/>
    <col min="51" max="51" width="11.421875" style="23" customWidth="1"/>
    <col min="52" max="52" width="9.7109375" style="23" bestFit="1" customWidth="1"/>
    <col min="53" max="53" width="9.7109375" style="23" customWidth="1"/>
    <col min="54" max="54" width="9.7109375" style="23" bestFit="1" customWidth="1"/>
    <col min="55" max="55" width="9.7109375" style="23" customWidth="1"/>
    <col min="56" max="56" width="9.7109375" style="23" bestFit="1" customWidth="1"/>
    <col min="57" max="58" width="9.7109375" style="23" customWidth="1"/>
    <col min="59" max="16384" width="9.140625" style="23" customWidth="1"/>
  </cols>
  <sheetData>
    <row r="1" spans="1:188" s="6" customFormat="1" ht="25.5">
      <c r="A1" s="512" t="s">
        <v>616</v>
      </c>
      <c r="B1" s="6" t="s">
        <v>2</v>
      </c>
      <c r="C1" s="6" t="s">
        <v>3</v>
      </c>
      <c r="D1" s="6" t="s">
        <v>4</v>
      </c>
      <c r="E1" s="6" t="s">
        <v>5</v>
      </c>
      <c r="F1" s="6" t="s">
        <v>6</v>
      </c>
      <c r="G1" s="6" t="s">
        <v>12</v>
      </c>
      <c r="H1" s="6" t="s">
        <v>13</v>
      </c>
      <c r="I1" s="6" t="s">
        <v>14</v>
      </c>
      <c r="J1" s="6" t="s">
        <v>15</v>
      </c>
      <c r="K1" s="6" t="s">
        <v>16</v>
      </c>
      <c r="L1" s="6" t="s">
        <v>17</v>
      </c>
      <c r="M1" s="6" t="s">
        <v>18</v>
      </c>
      <c r="N1" s="6" t="s">
        <v>19</v>
      </c>
      <c r="O1" s="6" t="s">
        <v>20</v>
      </c>
      <c r="P1" s="6" t="s">
        <v>21</v>
      </c>
      <c r="Q1" s="6" t="s">
        <v>22</v>
      </c>
      <c r="R1" s="6" t="s">
        <v>23</v>
      </c>
      <c r="S1" s="6" t="s">
        <v>24</v>
      </c>
      <c r="T1" s="6" t="s">
        <v>25</v>
      </c>
      <c r="U1" s="6" t="s">
        <v>26</v>
      </c>
      <c r="V1" s="6" t="s">
        <v>27</v>
      </c>
      <c r="W1" s="6" t="s">
        <v>28</v>
      </c>
      <c r="X1" s="6" t="s">
        <v>29</v>
      </c>
      <c r="Y1" s="6" t="s">
        <v>30</v>
      </c>
      <c r="Z1" s="6" t="s">
        <v>31</v>
      </c>
      <c r="AA1" s="6" t="s">
        <v>32</v>
      </c>
      <c r="AB1" s="6" t="s">
        <v>33</v>
      </c>
      <c r="AC1" s="6" t="s">
        <v>34</v>
      </c>
      <c r="AD1" s="6" t="s">
        <v>271</v>
      </c>
      <c r="AE1" s="6" t="s">
        <v>272</v>
      </c>
      <c r="AF1" s="6" t="s">
        <v>274</v>
      </c>
      <c r="AG1" s="6" t="s">
        <v>276</v>
      </c>
      <c r="AH1" s="6" t="s">
        <v>278</v>
      </c>
      <c r="AI1" s="6" t="s">
        <v>280</v>
      </c>
      <c r="AJ1" s="6" t="s">
        <v>281</v>
      </c>
      <c r="AK1" s="6" t="s">
        <v>289</v>
      </c>
      <c r="AL1" s="6" t="s">
        <v>290</v>
      </c>
      <c r="AM1" s="6" t="s">
        <v>291</v>
      </c>
      <c r="AN1" s="6" t="s">
        <v>292</v>
      </c>
      <c r="AO1" s="6" t="s">
        <v>293</v>
      </c>
      <c r="AP1" s="6" t="s">
        <v>329</v>
      </c>
      <c r="AQ1" s="6" t="s">
        <v>330</v>
      </c>
      <c r="AR1" s="6" t="s">
        <v>331</v>
      </c>
      <c r="AS1" s="6" t="s">
        <v>332</v>
      </c>
      <c r="AT1" s="6" t="s">
        <v>333</v>
      </c>
      <c r="AU1" s="6" t="s">
        <v>448</v>
      </c>
      <c r="AV1" s="6" t="s">
        <v>451</v>
      </c>
      <c r="AW1" s="6" t="s">
        <v>453</v>
      </c>
      <c r="AX1" s="6" t="s">
        <v>454</v>
      </c>
      <c r="AY1" s="6" t="s">
        <v>457</v>
      </c>
      <c r="AZ1" s="6" t="s">
        <v>495</v>
      </c>
      <c r="BA1" s="6" t="s">
        <v>554</v>
      </c>
      <c r="BB1" s="6" t="s">
        <v>561</v>
      </c>
      <c r="BC1" s="6" t="s">
        <v>570</v>
      </c>
      <c r="BD1" s="6" t="s">
        <v>574</v>
      </c>
      <c r="BE1" s="6" t="s">
        <v>595</v>
      </c>
      <c r="BF1" s="6" t="s">
        <v>554</v>
      </c>
      <c r="BG1" s="6" t="s">
        <v>617</v>
      </c>
      <c r="BH1" s="6" t="s">
        <v>619</v>
      </c>
      <c r="BI1" s="6" t="s">
        <v>620</v>
      </c>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row>
    <row r="2" spans="1:58" ht="12.75">
      <c r="A2" s="131" t="s">
        <v>524</v>
      </c>
      <c r="B2" s="59"/>
      <c r="C2" s="59"/>
      <c r="D2" s="59"/>
      <c r="E2" s="59"/>
      <c r="F2" s="211"/>
      <c r="G2" s="59"/>
      <c r="H2" s="59"/>
      <c r="I2" s="59"/>
      <c r="J2" s="59"/>
      <c r="K2" s="211"/>
      <c r="L2" s="59"/>
      <c r="M2" s="59"/>
      <c r="N2" s="59"/>
      <c r="O2" s="59"/>
      <c r="P2" s="211"/>
      <c r="Q2" s="59"/>
      <c r="R2" s="59"/>
      <c r="S2" s="59"/>
      <c r="T2" s="59"/>
      <c r="U2" s="211"/>
      <c r="V2" s="59"/>
      <c r="W2" s="59"/>
      <c r="X2" s="59"/>
      <c r="Y2" s="59"/>
      <c r="Z2" s="211"/>
      <c r="AA2" s="59"/>
      <c r="AB2" s="59"/>
      <c r="AC2" s="59"/>
      <c r="AD2" s="59"/>
      <c r="AE2" s="211"/>
      <c r="AF2" s="59"/>
      <c r="AG2" s="59"/>
      <c r="AH2" s="59"/>
      <c r="AI2" s="59"/>
      <c r="AJ2" s="211"/>
      <c r="AK2" s="59"/>
      <c r="AL2" s="59"/>
      <c r="AM2" s="59"/>
      <c r="AN2" s="59"/>
      <c r="AO2" s="211"/>
      <c r="AP2" s="59"/>
      <c r="AQ2" s="59"/>
      <c r="AR2" s="59"/>
      <c r="AS2" s="59"/>
      <c r="AT2" s="211"/>
      <c r="AU2" s="59"/>
      <c r="AV2" s="59"/>
      <c r="AW2" s="59"/>
      <c r="AX2" s="59"/>
      <c r="AY2" s="370"/>
      <c r="AZ2" s="211"/>
      <c r="BA2" s="211"/>
      <c r="BB2" s="211"/>
      <c r="BC2" s="211"/>
      <c r="BD2" s="211"/>
      <c r="BE2" s="211"/>
      <c r="BF2" s="211"/>
    </row>
    <row r="3" spans="1:188" s="213" customFormat="1" ht="12.75">
      <c r="A3" s="31" t="s">
        <v>585</v>
      </c>
      <c r="B3" s="13">
        <v>256.0386</v>
      </c>
      <c r="C3" s="13">
        <v>243.4269</v>
      </c>
      <c r="D3" s="13">
        <v>255.77870000000007</v>
      </c>
      <c r="E3" s="13">
        <v>255.50600000000003</v>
      </c>
      <c r="F3" s="13">
        <v>1010.7502000000001</v>
      </c>
      <c r="G3" s="13">
        <v>256</v>
      </c>
      <c r="H3" s="13">
        <v>249</v>
      </c>
      <c r="I3" s="13">
        <v>251</v>
      </c>
      <c r="J3" s="13">
        <v>249</v>
      </c>
      <c r="K3" s="13">
        <v>1005</v>
      </c>
      <c r="L3" s="13">
        <v>258.42740000000003</v>
      </c>
      <c r="M3" s="13">
        <v>519.2727999999997</v>
      </c>
      <c r="N3" s="13">
        <v>431</v>
      </c>
      <c r="O3" s="13">
        <v>495.4</v>
      </c>
      <c r="P3" s="13">
        <v>1704.1001999999999</v>
      </c>
      <c r="Q3" s="13">
        <v>500.7797</v>
      </c>
      <c r="R3" s="13">
        <v>524.3079</v>
      </c>
      <c r="S3" s="13">
        <v>570.5305999999999</v>
      </c>
      <c r="T3" s="13">
        <v>576.0541</v>
      </c>
      <c r="U3" s="13">
        <v>2171.6723</v>
      </c>
      <c r="V3" s="13">
        <v>558</v>
      </c>
      <c r="W3" s="13">
        <v>555</v>
      </c>
      <c r="X3" s="13">
        <v>562</v>
      </c>
      <c r="Y3" s="13">
        <v>578</v>
      </c>
      <c r="Z3" s="13">
        <v>2253</v>
      </c>
      <c r="AA3" s="13">
        <v>553</v>
      </c>
      <c r="AB3" s="13">
        <v>542</v>
      </c>
      <c r="AC3" s="13">
        <v>538</v>
      </c>
      <c r="AD3" s="13">
        <v>534</v>
      </c>
      <c r="AE3" s="13">
        <v>2167</v>
      </c>
      <c r="AF3" s="13">
        <v>523</v>
      </c>
      <c r="AG3" s="13">
        <f>SUM(AG4:AG6)</f>
        <v>538</v>
      </c>
      <c r="AH3" s="13">
        <f>SUM(AH4:AH6)</f>
        <v>541</v>
      </c>
      <c r="AI3" s="13">
        <v>521</v>
      </c>
      <c r="AJ3" s="13">
        <v>2122</v>
      </c>
      <c r="AK3" s="13">
        <v>489</v>
      </c>
      <c r="AL3" s="13">
        <v>481</v>
      </c>
      <c r="AM3" s="13">
        <v>480</v>
      </c>
      <c r="AN3" s="13">
        <v>472</v>
      </c>
      <c r="AO3" s="13">
        <v>1924</v>
      </c>
      <c r="AP3" s="325"/>
      <c r="AQ3" s="325"/>
      <c r="AR3" s="325"/>
      <c r="AS3" s="325"/>
      <c r="AT3" s="325"/>
      <c r="AU3" s="325"/>
      <c r="AV3" s="325"/>
      <c r="AW3" s="325"/>
      <c r="AX3" s="13">
        <v>48.4</v>
      </c>
      <c r="AY3" s="355">
        <v>49.4</v>
      </c>
      <c r="AZ3" s="491">
        <v>48</v>
      </c>
      <c r="BA3" s="491">
        <v>46.9</v>
      </c>
      <c r="BB3" s="491">
        <v>46.4</v>
      </c>
      <c r="BC3" s="491">
        <v>44.2</v>
      </c>
      <c r="BD3" s="490">
        <v>46.4</v>
      </c>
      <c r="BE3" s="491">
        <v>43.7</v>
      </c>
      <c r="BF3" s="491">
        <v>42.3</v>
      </c>
      <c r="BG3" s="213">
        <v>42.3</v>
      </c>
      <c r="BH3" s="213">
        <v>42.9</v>
      </c>
      <c r="BI3" s="213">
        <v>42.8</v>
      </c>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row>
    <row r="4" spans="1:61" ht="12.75">
      <c r="A4" s="31" t="s">
        <v>37</v>
      </c>
      <c r="B4" s="59">
        <v>256.0386</v>
      </c>
      <c r="C4" s="59">
        <v>243.4269</v>
      </c>
      <c r="D4" s="59">
        <v>255.77870000000007</v>
      </c>
      <c r="E4" s="59">
        <v>255.50600000000003</v>
      </c>
      <c r="F4" s="13">
        <v>1010.7502000000001</v>
      </c>
      <c r="G4" s="59">
        <v>256</v>
      </c>
      <c r="H4" s="59">
        <v>249</v>
      </c>
      <c r="I4" s="59">
        <v>251</v>
      </c>
      <c r="J4" s="59">
        <v>249</v>
      </c>
      <c r="K4" s="13">
        <v>1005</v>
      </c>
      <c r="L4" s="59">
        <v>258.42740000000003</v>
      </c>
      <c r="M4" s="59">
        <v>263.2727999999998</v>
      </c>
      <c r="N4" s="59">
        <v>276</v>
      </c>
      <c r="O4" s="59">
        <v>285.4</v>
      </c>
      <c r="P4" s="13">
        <v>1083.1001999999999</v>
      </c>
      <c r="Q4" s="59">
        <v>262.7797</v>
      </c>
      <c r="R4" s="59">
        <v>259.30789999999996</v>
      </c>
      <c r="S4" s="59">
        <v>256.53059999999994</v>
      </c>
      <c r="T4" s="59">
        <v>245.05409999999998</v>
      </c>
      <c r="U4" s="13">
        <v>1023.6723</v>
      </c>
      <c r="V4" s="59">
        <v>231</v>
      </c>
      <c r="W4" s="59">
        <v>218</v>
      </c>
      <c r="X4" s="59">
        <v>216</v>
      </c>
      <c r="Y4" s="59">
        <v>219</v>
      </c>
      <c r="Z4" s="13">
        <v>884</v>
      </c>
      <c r="AA4" s="59">
        <v>215</v>
      </c>
      <c r="AB4" s="59">
        <v>208</v>
      </c>
      <c r="AC4" s="59">
        <v>215</v>
      </c>
      <c r="AD4" s="59">
        <v>219</v>
      </c>
      <c r="AE4" s="13">
        <v>857</v>
      </c>
      <c r="AF4" s="59">
        <v>206</v>
      </c>
      <c r="AG4" s="59">
        <v>203</v>
      </c>
      <c r="AH4" s="59">
        <v>203</v>
      </c>
      <c r="AI4" s="59">
        <v>188</v>
      </c>
      <c r="AJ4" s="13">
        <v>799</v>
      </c>
      <c r="AK4" s="59">
        <v>181</v>
      </c>
      <c r="AL4" s="59">
        <v>195</v>
      </c>
      <c r="AM4" s="59">
        <v>183</v>
      </c>
      <c r="AN4" s="59">
        <v>183</v>
      </c>
      <c r="AO4" s="13">
        <v>743</v>
      </c>
      <c r="AP4" s="325"/>
      <c r="AQ4" s="325"/>
      <c r="AR4" s="325"/>
      <c r="AS4" s="325"/>
      <c r="AT4" s="325"/>
      <c r="AU4" s="325"/>
      <c r="AV4" s="325"/>
      <c r="AW4" s="325"/>
      <c r="AX4" s="59">
        <v>12.7</v>
      </c>
      <c r="AY4" s="355">
        <v>13.4</v>
      </c>
      <c r="AZ4" s="62">
        <v>13</v>
      </c>
      <c r="BA4" s="62">
        <v>13.1</v>
      </c>
      <c r="BB4" s="62">
        <v>11.8</v>
      </c>
      <c r="BC4" s="62">
        <v>11.5</v>
      </c>
      <c r="BD4" s="490">
        <v>12.4</v>
      </c>
      <c r="BE4" s="62">
        <v>12</v>
      </c>
      <c r="BF4" s="62">
        <v>11.9</v>
      </c>
      <c r="BG4" s="23">
        <v>12.4</v>
      </c>
      <c r="BH4" s="23">
        <v>12.6</v>
      </c>
      <c r="BI4" s="23">
        <v>12.2</v>
      </c>
    </row>
    <row r="5" spans="1:61" ht="12.75">
      <c r="A5" s="31" t="s">
        <v>406</v>
      </c>
      <c r="B5" s="59"/>
      <c r="C5" s="59"/>
      <c r="D5" s="59"/>
      <c r="E5" s="59"/>
      <c r="F5" s="13"/>
      <c r="G5" s="59"/>
      <c r="H5" s="59"/>
      <c r="I5" s="59"/>
      <c r="J5" s="59"/>
      <c r="K5" s="13"/>
      <c r="L5" s="59"/>
      <c r="M5" s="59"/>
      <c r="N5" s="59"/>
      <c r="O5" s="59"/>
      <c r="P5" s="13"/>
      <c r="Q5" s="59"/>
      <c r="R5" s="59"/>
      <c r="S5" s="59"/>
      <c r="T5" s="59"/>
      <c r="U5" s="13"/>
      <c r="V5" s="59"/>
      <c r="W5" s="59"/>
      <c r="X5" s="59"/>
      <c r="Y5" s="59"/>
      <c r="Z5" s="13"/>
      <c r="AA5" s="59"/>
      <c r="AB5" s="59"/>
      <c r="AC5" s="59"/>
      <c r="AD5" s="59"/>
      <c r="AE5" s="13"/>
      <c r="AF5" s="59"/>
      <c r="AG5" s="59"/>
      <c r="AH5" s="59"/>
      <c r="AI5" s="59"/>
      <c r="AJ5" s="13"/>
      <c r="AK5" s="59"/>
      <c r="AL5" s="59"/>
      <c r="AM5" s="59"/>
      <c r="AN5" s="59"/>
      <c r="AO5" s="13"/>
      <c r="AP5" s="325"/>
      <c r="AQ5" s="325"/>
      <c r="AR5" s="325"/>
      <c r="AS5" s="325"/>
      <c r="AT5" s="325"/>
      <c r="AU5" s="325"/>
      <c r="AV5" s="325"/>
      <c r="AW5" s="325"/>
      <c r="AX5" s="59">
        <v>9.5</v>
      </c>
      <c r="AY5" s="355">
        <v>9.7</v>
      </c>
      <c r="AZ5" s="62">
        <v>9.4</v>
      </c>
      <c r="BA5" s="62">
        <v>9.3</v>
      </c>
      <c r="BB5" s="62">
        <v>9.1</v>
      </c>
      <c r="BC5" s="62">
        <v>8.6</v>
      </c>
      <c r="BD5" s="490">
        <v>9.1</v>
      </c>
      <c r="BE5" s="62">
        <v>8.7</v>
      </c>
      <c r="BF5" s="62">
        <v>8.9</v>
      </c>
      <c r="BG5" s="23">
        <v>8.9</v>
      </c>
      <c r="BH5" s="23">
        <v>8.6</v>
      </c>
      <c r="BI5" s="23">
        <v>8.8</v>
      </c>
    </row>
    <row r="6" spans="1:61" ht="12.75">
      <c r="A6" s="31" t="s">
        <v>405</v>
      </c>
      <c r="B6" s="59">
        <v>0</v>
      </c>
      <c r="C6" s="59">
        <v>0</v>
      </c>
      <c r="D6" s="59">
        <v>0</v>
      </c>
      <c r="E6" s="59">
        <v>0</v>
      </c>
      <c r="F6" s="13">
        <v>0</v>
      </c>
      <c r="G6" s="59">
        <v>0</v>
      </c>
      <c r="H6" s="59">
        <v>0</v>
      </c>
      <c r="I6" s="59">
        <v>0</v>
      </c>
      <c r="J6" s="59">
        <v>0</v>
      </c>
      <c r="K6" s="13">
        <v>0</v>
      </c>
      <c r="L6" s="59">
        <v>0</v>
      </c>
      <c r="M6" s="59">
        <v>256</v>
      </c>
      <c r="N6" s="59">
        <v>155</v>
      </c>
      <c r="O6" s="59">
        <v>210</v>
      </c>
      <c r="P6" s="13">
        <v>621</v>
      </c>
      <c r="Q6" s="59">
        <v>238</v>
      </c>
      <c r="R6" s="59">
        <v>265</v>
      </c>
      <c r="S6" s="59">
        <v>314</v>
      </c>
      <c r="T6" s="59">
        <v>331</v>
      </c>
      <c r="U6" s="13">
        <v>1148</v>
      </c>
      <c r="V6" s="59">
        <v>327</v>
      </c>
      <c r="W6" s="59">
        <v>337</v>
      </c>
      <c r="X6" s="59">
        <v>346</v>
      </c>
      <c r="Y6" s="59">
        <v>359</v>
      </c>
      <c r="Z6" s="13">
        <v>1369</v>
      </c>
      <c r="AA6" s="59">
        <v>338</v>
      </c>
      <c r="AB6" s="59">
        <v>334</v>
      </c>
      <c r="AC6" s="59">
        <v>323</v>
      </c>
      <c r="AD6" s="59">
        <v>315</v>
      </c>
      <c r="AE6" s="13">
        <v>1310</v>
      </c>
      <c r="AF6" s="59">
        <v>317</v>
      </c>
      <c r="AG6" s="59">
        <v>335</v>
      </c>
      <c r="AH6" s="59">
        <v>338</v>
      </c>
      <c r="AI6" s="59">
        <v>333</v>
      </c>
      <c r="AJ6" s="13">
        <v>1323</v>
      </c>
      <c r="AK6" s="59">
        <v>308</v>
      </c>
      <c r="AL6" s="59">
        <v>286</v>
      </c>
      <c r="AM6" s="59">
        <v>297</v>
      </c>
      <c r="AN6" s="59">
        <v>289</v>
      </c>
      <c r="AO6" s="13">
        <v>1181</v>
      </c>
      <c r="AP6" s="325"/>
      <c r="AQ6" s="325"/>
      <c r="AR6" s="325"/>
      <c r="AS6" s="325"/>
      <c r="AT6" s="325"/>
      <c r="AU6" s="325"/>
      <c r="AV6" s="325"/>
      <c r="AW6" s="325"/>
      <c r="AX6" s="59">
        <v>19.5</v>
      </c>
      <c r="AY6" s="355">
        <v>19.7</v>
      </c>
      <c r="AZ6" s="62">
        <v>18.9</v>
      </c>
      <c r="BA6" s="62">
        <v>18.3</v>
      </c>
      <c r="BB6" s="62">
        <v>18.6</v>
      </c>
      <c r="BC6" s="62">
        <v>18.8</v>
      </c>
      <c r="BD6" s="490">
        <v>18.7</v>
      </c>
      <c r="BE6" s="62">
        <v>18.3</v>
      </c>
      <c r="BF6" s="62">
        <v>17.2</v>
      </c>
      <c r="BG6" s="23">
        <v>17.4</v>
      </c>
      <c r="BH6" s="23">
        <v>17.2</v>
      </c>
      <c r="BI6" s="23">
        <v>17.5</v>
      </c>
    </row>
    <row r="7" spans="1:61" ht="12.75">
      <c r="A7" s="31" t="s">
        <v>575</v>
      </c>
      <c r="B7" s="59"/>
      <c r="C7" s="59"/>
      <c r="D7" s="59"/>
      <c r="E7" s="59"/>
      <c r="F7" s="13"/>
      <c r="G7" s="59"/>
      <c r="H7" s="59"/>
      <c r="I7" s="59"/>
      <c r="J7" s="59"/>
      <c r="K7" s="13"/>
      <c r="L7" s="59"/>
      <c r="M7" s="59"/>
      <c r="N7" s="59"/>
      <c r="O7" s="59"/>
      <c r="P7" s="13"/>
      <c r="Q7" s="59"/>
      <c r="R7" s="59"/>
      <c r="S7" s="59"/>
      <c r="T7" s="59"/>
      <c r="U7" s="13"/>
      <c r="V7" s="59"/>
      <c r="W7" s="59"/>
      <c r="X7" s="59"/>
      <c r="Y7" s="59"/>
      <c r="Z7" s="13"/>
      <c r="AA7" s="59"/>
      <c r="AB7" s="59"/>
      <c r="AC7" s="59"/>
      <c r="AD7" s="59"/>
      <c r="AE7" s="13"/>
      <c r="AF7" s="59"/>
      <c r="AG7" s="59"/>
      <c r="AH7" s="59"/>
      <c r="AI7" s="59"/>
      <c r="AJ7" s="13"/>
      <c r="AK7" s="59"/>
      <c r="AL7" s="59"/>
      <c r="AM7" s="59"/>
      <c r="AN7" s="59"/>
      <c r="AO7" s="13"/>
      <c r="AP7" s="325"/>
      <c r="AQ7" s="325"/>
      <c r="AR7" s="325"/>
      <c r="AS7" s="325"/>
      <c r="AT7" s="325"/>
      <c r="AU7" s="325"/>
      <c r="AV7" s="325"/>
      <c r="AW7" s="325"/>
      <c r="AX7" s="59">
        <v>3.4</v>
      </c>
      <c r="AY7" s="355">
        <v>3.1</v>
      </c>
      <c r="AZ7" s="62">
        <v>3.3</v>
      </c>
      <c r="BA7" s="62">
        <v>3</v>
      </c>
      <c r="BB7" s="62">
        <v>3.3</v>
      </c>
      <c r="BC7" s="62">
        <v>1.8</v>
      </c>
      <c r="BD7" s="490">
        <v>2.8</v>
      </c>
      <c r="BE7" s="62">
        <v>0.4</v>
      </c>
      <c r="BF7" s="62">
        <v>0</v>
      </c>
      <c r="BG7" s="235">
        <v>0</v>
      </c>
      <c r="BH7" s="235">
        <v>0</v>
      </c>
      <c r="BI7" s="235">
        <v>0.1</v>
      </c>
    </row>
    <row r="8" spans="1:61" ht="12.75">
      <c r="A8" s="31" t="s">
        <v>577</v>
      </c>
      <c r="B8" s="59"/>
      <c r="C8" s="59"/>
      <c r="D8" s="59"/>
      <c r="E8" s="59"/>
      <c r="F8" s="13"/>
      <c r="G8" s="59"/>
      <c r="H8" s="59"/>
      <c r="I8" s="59"/>
      <c r="J8" s="59"/>
      <c r="K8" s="13"/>
      <c r="L8" s="59"/>
      <c r="M8" s="59"/>
      <c r="N8" s="59"/>
      <c r="O8" s="59"/>
      <c r="P8" s="13"/>
      <c r="Q8" s="59"/>
      <c r="R8" s="59"/>
      <c r="S8" s="59"/>
      <c r="T8" s="59"/>
      <c r="U8" s="13"/>
      <c r="V8" s="59"/>
      <c r="W8" s="59"/>
      <c r="X8" s="59"/>
      <c r="Y8" s="59"/>
      <c r="Z8" s="13"/>
      <c r="AA8" s="59"/>
      <c r="AB8" s="59"/>
      <c r="AC8" s="59"/>
      <c r="AD8" s="59"/>
      <c r="AE8" s="13"/>
      <c r="AF8" s="59"/>
      <c r="AG8" s="59"/>
      <c r="AH8" s="59"/>
      <c r="AI8" s="59"/>
      <c r="AJ8" s="13"/>
      <c r="AK8" s="59"/>
      <c r="AL8" s="59"/>
      <c r="AM8" s="59"/>
      <c r="AN8" s="59"/>
      <c r="AO8" s="13"/>
      <c r="AP8" s="325"/>
      <c r="AQ8" s="325"/>
      <c r="AR8" s="325"/>
      <c r="AS8" s="325"/>
      <c r="AT8" s="325"/>
      <c r="AU8" s="325"/>
      <c r="AV8" s="325"/>
      <c r="AW8" s="325"/>
      <c r="AX8" s="59">
        <v>3.4</v>
      </c>
      <c r="AY8" s="355">
        <v>3.5</v>
      </c>
      <c r="AZ8" s="62">
        <v>3.4</v>
      </c>
      <c r="BA8" s="62">
        <v>3.2</v>
      </c>
      <c r="BB8" s="62">
        <v>3.6</v>
      </c>
      <c r="BC8" s="62">
        <v>3.5</v>
      </c>
      <c r="BD8" s="490">
        <v>3.4</v>
      </c>
      <c r="BE8" s="62">
        <v>4.3</v>
      </c>
      <c r="BF8" s="62">
        <v>4.4</v>
      </c>
      <c r="BG8" s="23">
        <v>3.6</v>
      </c>
      <c r="BH8" s="23">
        <v>4.4</v>
      </c>
      <c r="BI8" s="23">
        <v>4.2</v>
      </c>
    </row>
    <row r="9" spans="1:188" s="213" customFormat="1" ht="12.75">
      <c r="A9" s="31" t="s">
        <v>586</v>
      </c>
      <c r="B9" s="13">
        <v>867</v>
      </c>
      <c r="C9" s="13">
        <v>755</v>
      </c>
      <c r="D9" s="13">
        <v>621</v>
      </c>
      <c r="E9" s="13">
        <v>983</v>
      </c>
      <c r="F9" s="13">
        <v>3226</v>
      </c>
      <c r="G9" s="13">
        <v>882.56795</v>
      </c>
      <c r="H9" s="13">
        <v>695.52895</v>
      </c>
      <c r="I9" s="13">
        <v>618.28278</v>
      </c>
      <c r="J9" s="13">
        <v>813.412651</v>
      </c>
      <c r="K9" s="13">
        <v>3009.792331</v>
      </c>
      <c r="L9" s="13">
        <v>839</v>
      </c>
      <c r="M9" s="13">
        <v>639</v>
      </c>
      <c r="N9" s="13">
        <v>608</v>
      </c>
      <c r="O9" s="13">
        <v>735</v>
      </c>
      <c r="P9" s="13">
        <v>2821</v>
      </c>
      <c r="Q9" s="13">
        <v>767</v>
      </c>
      <c r="R9" s="13">
        <v>763</v>
      </c>
      <c r="S9" s="13">
        <v>667</v>
      </c>
      <c r="T9" s="13">
        <v>730</v>
      </c>
      <c r="U9" s="13">
        <v>2927</v>
      </c>
      <c r="V9" s="13">
        <v>732</v>
      </c>
      <c r="W9" s="13">
        <v>647</v>
      </c>
      <c r="X9" s="13">
        <v>724</v>
      </c>
      <c r="Y9" s="13">
        <v>770</v>
      </c>
      <c r="Z9" s="13">
        <v>2874</v>
      </c>
      <c r="AA9" s="13">
        <v>862</v>
      </c>
      <c r="AB9" s="13">
        <v>695</v>
      </c>
      <c r="AC9" s="13">
        <v>725</v>
      </c>
      <c r="AD9" s="13">
        <v>796</v>
      </c>
      <c r="AE9" s="13">
        <v>3079</v>
      </c>
      <c r="AF9" s="13">
        <v>656</v>
      </c>
      <c r="AG9" s="13">
        <f>SUM(AG10:AG12)</f>
        <v>572</v>
      </c>
      <c r="AH9" s="13">
        <f>SUM(AH10:AH12)</f>
        <v>627</v>
      </c>
      <c r="AI9" s="13">
        <v>662</v>
      </c>
      <c r="AJ9" s="13">
        <v>2546</v>
      </c>
      <c r="AK9" s="13">
        <v>617</v>
      </c>
      <c r="AL9" s="13">
        <v>596</v>
      </c>
      <c r="AM9" s="13">
        <v>657</v>
      </c>
      <c r="AN9" s="13">
        <v>664</v>
      </c>
      <c r="AO9" s="13">
        <v>2533</v>
      </c>
      <c r="AP9" s="325"/>
      <c r="AQ9" s="325"/>
      <c r="AR9" s="325"/>
      <c r="AS9" s="325"/>
      <c r="AT9" s="325"/>
      <c r="AU9" s="325"/>
      <c r="AV9" s="325"/>
      <c r="AW9" s="325"/>
      <c r="AX9" s="13">
        <v>82.5</v>
      </c>
      <c r="AY9" s="355">
        <v>80.5</v>
      </c>
      <c r="AZ9" s="491">
        <v>86.5</v>
      </c>
      <c r="BA9" s="491">
        <v>86.5</v>
      </c>
      <c r="BB9" s="491">
        <v>84.3</v>
      </c>
      <c r="BC9" s="491">
        <v>85.1</v>
      </c>
      <c r="BD9" s="490">
        <v>85.6</v>
      </c>
      <c r="BE9" s="491">
        <v>79.7</v>
      </c>
      <c r="BF9" s="491">
        <v>62.8</v>
      </c>
      <c r="BG9" s="213">
        <v>61.3</v>
      </c>
      <c r="BH9" s="213">
        <v>62.9</v>
      </c>
      <c r="BI9" s="213">
        <v>66.7</v>
      </c>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row>
    <row r="10" spans="1:61" ht="12.75">
      <c r="A10" s="31" t="s">
        <v>37</v>
      </c>
      <c r="B10" s="59">
        <v>867</v>
      </c>
      <c r="C10" s="59">
        <v>755</v>
      </c>
      <c r="D10" s="59">
        <v>621</v>
      </c>
      <c r="E10" s="59">
        <v>983</v>
      </c>
      <c r="F10" s="13">
        <v>3226</v>
      </c>
      <c r="G10" s="59">
        <v>882.56795</v>
      </c>
      <c r="H10" s="59">
        <v>695.52895</v>
      </c>
      <c r="I10" s="59">
        <v>618.28278</v>
      </c>
      <c r="J10" s="59">
        <v>813.412651</v>
      </c>
      <c r="K10" s="13">
        <v>3009.792331</v>
      </c>
      <c r="L10" s="59">
        <v>839</v>
      </c>
      <c r="M10" s="59">
        <v>639</v>
      </c>
      <c r="N10" s="59">
        <v>608</v>
      </c>
      <c r="O10" s="59">
        <v>735</v>
      </c>
      <c r="P10" s="13">
        <v>2821</v>
      </c>
      <c r="Q10" s="59">
        <v>767</v>
      </c>
      <c r="R10" s="59">
        <v>763</v>
      </c>
      <c r="S10" s="59">
        <v>667</v>
      </c>
      <c r="T10" s="59">
        <v>730</v>
      </c>
      <c r="U10" s="13">
        <v>2927</v>
      </c>
      <c r="V10" s="59">
        <v>727</v>
      </c>
      <c r="W10" s="59">
        <v>640</v>
      </c>
      <c r="X10" s="59">
        <v>716</v>
      </c>
      <c r="Y10" s="59">
        <v>760</v>
      </c>
      <c r="Z10" s="13">
        <v>2843</v>
      </c>
      <c r="AA10" s="59">
        <v>851</v>
      </c>
      <c r="AB10" s="59">
        <v>685</v>
      </c>
      <c r="AC10" s="59">
        <v>713</v>
      </c>
      <c r="AD10" s="59">
        <v>779</v>
      </c>
      <c r="AE10" s="13">
        <v>3028</v>
      </c>
      <c r="AF10" s="59">
        <v>641</v>
      </c>
      <c r="AG10" s="59">
        <v>572</v>
      </c>
      <c r="AH10" s="59">
        <v>627</v>
      </c>
      <c r="AI10" s="59">
        <v>648</v>
      </c>
      <c r="AJ10" s="13">
        <v>2488</v>
      </c>
      <c r="AK10" s="59">
        <v>604</v>
      </c>
      <c r="AL10" s="59">
        <v>583</v>
      </c>
      <c r="AM10" s="59">
        <v>644</v>
      </c>
      <c r="AN10" s="59">
        <v>650</v>
      </c>
      <c r="AO10" s="13">
        <v>2480</v>
      </c>
      <c r="AP10" s="325"/>
      <c r="AQ10" s="325"/>
      <c r="AR10" s="325"/>
      <c r="AS10" s="325"/>
      <c r="AT10" s="325"/>
      <c r="AU10" s="325"/>
      <c r="AV10" s="325"/>
      <c r="AW10" s="325"/>
      <c r="AX10" s="62">
        <v>33.8</v>
      </c>
      <c r="AY10" s="490">
        <v>34.3</v>
      </c>
      <c r="AZ10" s="62">
        <v>32.3</v>
      </c>
      <c r="BA10" s="62">
        <v>31.4</v>
      </c>
      <c r="BB10" s="62">
        <v>30.9</v>
      </c>
      <c r="BC10" s="62">
        <v>31.7</v>
      </c>
      <c r="BD10" s="490">
        <v>31.6</v>
      </c>
      <c r="BE10" s="62">
        <v>30.4</v>
      </c>
      <c r="BF10" s="62">
        <v>25.7</v>
      </c>
      <c r="BG10" s="23">
        <v>29</v>
      </c>
      <c r="BH10" s="23">
        <v>30.7</v>
      </c>
      <c r="BI10" s="23">
        <v>29</v>
      </c>
    </row>
    <row r="11" spans="1:61" ht="12.75">
      <c r="A11" s="31" t="s">
        <v>406</v>
      </c>
      <c r="B11" s="59"/>
      <c r="C11" s="59"/>
      <c r="D11" s="59"/>
      <c r="E11" s="59"/>
      <c r="F11" s="13"/>
      <c r="G11" s="59"/>
      <c r="H11" s="59"/>
      <c r="I11" s="59"/>
      <c r="J11" s="59"/>
      <c r="K11" s="13"/>
      <c r="L11" s="59"/>
      <c r="M11" s="59"/>
      <c r="N11" s="59"/>
      <c r="O11" s="59"/>
      <c r="P11" s="13"/>
      <c r="Q11" s="59"/>
      <c r="R11" s="59"/>
      <c r="S11" s="59"/>
      <c r="T11" s="59"/>
      <c r="U11" s="13"/>
      <c r="V11" s="59"/>
      <c r="W11" s="59"/>
      <c r="X11" s="59"/>
      <c r="Y11" s="59"/>
      <c r="Z11" s="13"/>
      <c r="AA11" s="59"/>
      <c r="AB11" s="59"/>
      <c r="AC11" s="59"/>
      <c r="AD11" s="59"/>
      <c r="AE11" s="13"/>
      <c r="AF11" s="59"/>
      <c r="AG11" s="59"/>
      <c r="AH11" s="59"/>
      <c r="AI11" s="59"/>
      <c r="AJ11" s="13"/>
      <c r="AK11" s="59"/>
      <c r="AL11" s="59"/>
      <c r="AM11" s="59"/>
      <c r="AN11" s="59"/>
      <c r="AO11" s="13"/>
      <c r="AP11" s="325"/>
      <c r="AQ11" s="325"/>
      <c r="AR11" s="325"/>
      <c r="AS11" s="325"/>
      <c r="AT11" s="325"/>
      <c r="AU11" s="325"/>
      <c r="AV11" s="325"/>
      <c r="AW11" s="325"/>
      <c r="AX11" s="62">
        <v>38.9</v>
      </c>
      <c r="AY11" s="490">
        <v>37.6</v>
      </c>
      <c r="AZ11" s="62">
        <v>37.8</v>
      </c>
      <c r="BA11" s="62">
        <v>36.3</v>
      </c>
      <c r="BB11" s="62">
        <v>34.3</v>
      </c>
      <c r="BC11" s="62">
        <v>34.6</v>
      </c>
      <c r="BD11" s="490">
        <v>35.7</v>
      </c>
      <c r="BE11" s="62">
        <v>35.1</v>
      </c>
      <c r="BF11" s="62">
        <v>32.2</v>
      </c>
      <c r="BG11" s="23">
        <v>27.8</v>
      </c>
      <c r="BH11" s="23">
        <v>27.8</v>
      </c>
      <c r="BI11" s="23">
        <v>30.7</v>
      </c>
    </row>
    <row r="12" spans="1:61" ht="12.75">
      <c r="A12" s="31" t="s">
        <v>576</v>
      </c>
      <c r="B12" s="59"/>
      <c r="C12" s="59"/>
      <c r="D12" s="59"/>
      <c r="E12" s="59"/>
      <c r="F12" s="13"/>
      <c r="G12" s="59"/>
      <c r="H12" s="59"/>
      <c r="I12" s="59"/>
      <c r="J12" s="59"/>
      <c r="K12" s="13"/>
      <c r="L12" s="59"/>
      <c r="M12" s="59"/>
      <c r="N12" s="59"/>
      <c r="O12" s="59"/>
      <c r="P12" s="13"/>
      <c r="Q12" s="59"/>
      <c r="R12" s="59"/>
      <c r="S12" s="59"/>
      <c r="T12" s="59"/>
      <c r="U12" s="13"/>
      <c r="V12" s="59"/>
      <c r="W12" s="59"/>
      <c r="X12" s="59"/>
      <c r="Y12" s="59"/>
      <c r="Z12" s="13"/>
      <c r="AA12" s="59"/>
      <c r="AB12" s="59"/>
      <c r="AC12" s="59"/>
      <c r="AD12" s="59"/>
      <c r="AE12" s="13"/>
      <c r="AF12" s="59"/>
      <c r="AG12" s="59"/>
      <c r="AH12" s="59"/>
      <c r="AI12" s="59"/>
      <c r="AJ12" s="13"/>
      <c r="AK12" s="59"/>
      <c r="AL12" s="59"/>
      <c r="AM12" s="59"/>
      <c r="AN12" s="59"/>
      <c r="AO12" s="13"/>
      <c r="AP12" s="325"/>
      <c r="AQ12" s="325"/>
      <c r="AR12" s="325"/>
      <c r="AS12" s="325"/>
      <c r="AT12" s="325"/>
      <c r="AU12" s="325"/>
      <c r="AV12" s="325"/>
      <c r="AW12" s="325"/>
      <c r="AX12" s="62">
        <v>24.2</v>
      </c>
      <c r="AY12" s="490">
        <v>22.7</v>
      </c>
      <c r="AZ12" s="62">
        <v>23.1</v>
      </c>
      <c r="BA12" s="62">
        <v>22.1</v>
      </c>
      <c r="BB12" s="62">
        <v>21.2</v>
      </c>
      <c r="BC12" s="62">
        <v>20.7</v>
      </c>
      <c r="BD12" s="490">
        <v>21.8</v>
      </c>
      <c r="BE12" s="62">
        <v>18.8</v>
      </c>
      <c r="BF12" s="62">
        <v>16.5</v>
      </c>
      <c r="BG12" s="23">
        <v>14.9</v>
      </c>
      <c r="BH12" s="23">
        <v>12.9</v>
      </c>
      <c r="BI12" s="23">
        <v>15.8</v>
      </c>
    </row>
    <row r="13" spans="1:61" ht="12.75">
      <c r="A13" s="31" t="s">
        <v>575</v>
      </c>
      <c r="B13" s="59"/>
      <c r="C13" s="59"/>
      <c r="D13" s="59"/>
      <c r="E13" s="59"/>
      <c r="F13" s="13"/>
      <c r="G13" s="59"/>
      <c r="H13" s="59"/>
      <c r="I13" s="59"/>
      <c r="J13" s="59"/>
      <c r="K13" s="13"/>
      <c r="L13" s="59"/>
      <c r="M13" s="59"/>
      <c r="N13" s="59"/>
      <c r="O13" s="59"/>
      <c r="P13" s="13"/>
      <c r="Q13" s="59"/>
      <c r="R13" s="59"/>
      <c r="S13" s="59"/>
      <c r="T13" s="59"/>
      <c r="U13" s="13"/>
      <c r="V13" s="59"/>
      <c r="W13" s="59"/>
      <c r="X13" s="59"/>
      <c r="Y13" s="59"/>
      <c r="Z13" s="13"/>
      <c r="AA13" s="59"/>
      <c r="AB13" s="59"/>
      <c r="AC13" s="59"/>
      <c r="AD13" s="59"/>
      <c r="AE13" s="13"/>
      <c r="AF13" s="59"/>
      <c r="AG13" s="59"/>
      <c r="AH13" s="59"/>
      <c r="AI13" s="59"/>
      <c r="AJ13" s="13"/>
      <c r="AK13" s="59"/>
      <c r="AL13" s="59"/>
      <c r="AM13" s="59"/>
      <c r="AN13" s="59"/>
      <c r="AO13" s="13"/>
      <c r="AP13" s="325"/>
      <c r="AQ13" s="325"/>
      <c r="AR13" s="325"/>
      <c r="AS13" s="325"/>
      <c r="AT13" s="325"/>
      <c r="AU13" s="325"/>
      <c r="AV13" s="325"/>
      <c r="AW13" s="325"/>
      <c r="AX13" s="62">
        <v>5.2</v>
      </c>
      <c r="AY13" s="490">
        <v>4.4</v>
      </c>
      <c r="AZ13" s="62">
        <v>11.7</v>
      </c>
      <c r="BA13" s="62">
        <v>14.1</v>
      </c>
      <c r="BB13" s="62">
        <v>14.3</v>
      </c>
      <c r="BC13" s="62">
        <v>13.8</v>
      </c>
      <c r="BD13" s="490">
        <v>13.5</v>
      </c>
      <c r="BE13" s="62">
        <v>9.2</v>
      </c>
      <c r="BF13" s="62">
        <v>0</v>
      </c>
      <c r="BG13" s="235">
        <v>0</v>
      </c>
      <c r="BH13" s="235">
        <v>0</v>
      </c>
      <c r="BI13" s="235">
        <v>2.3</v>
      </c>
    </row>
    <row r="14" spans="1:61" ht="12.75">
      <c r="A14" s="31" t="s">
        <v>577</v>
      </c>
      <c r="B14" s="59"/>
      <c r="C14" s="59"/>
      <c r="D14" s="59"/>
      <c r="E14" s="59"/>
      <c r="F14" s="13"/>
      <c r="G14" s="59"/>
      <c r="H14" s="59"/>
      <c r="I14" s="59"/>
      <c r="J14" s="59"/>
      <c r="K14" s="13"/>
      <c r="L14" s="59"/>
      <c r="M14" s="59"/>
      <c r="N14" s="59"/>
      <c r="O14" s="59"/>
      <c r="P14" s="13"/>
      <c r="Q14" s="59"/>
      <c r="R14" s="59"/>
      <c r="S14" s="59"/>
      <c r="T14" s="59"/>
      <c r="U14" s="13"/>
      <c r="V14" s="59"/>
      <c r="W14" s="59"/>
      <c r="X14" s="59"/>
      <c r="Y14" s="59"/>
      <c r="Z14" s="13"/>
      <c r="AA14" s="59"/>
      <c r="AB14" s="59"/>
      <c r="AC14" s="59"/>
      <c r="AD14" s="59"/>
      <c r="AE14" s="13"/>
      <c r="AF14" s="59"/>
      <c r="AG14" s="59"/>
      <c r="AH14" s="59"/>
      <c r="AI14" s="59"/>
      <c r="AJ14" s="13"/>
      <c r="AK14" s="59"/>
      <c r="AL14" s="59"/>
      <c r="AM14" s="59"/>
      <c r="AN14" s="59"/>
      <c r="AO14" s="13"/>
      <c r="AP14" s="325"/>
      <c r="AQ14" s="325"/>
      <c r="AR14" s="325"/>
      <c r="AS14" s="325"/>
      <c r="AT14" s="325"/>
      <c r="AU14" s="325"/>
      <c r="AV14" s="325"/>
      <c r="AW14" s="325"/>
      <c r="AX14" s="62">
        <v>4.7</v>
      </c>
      <c r="AY14" s="490">
        <v>4.2</v>
      </c>
      <c r="AZ14" s="62">
        <v>4.7</v>
      </c>
      <c r="BA14" s="62">
        <v>4.7</v>
      </c>
      <c r="BB14" s="62">
        <v>4.9</v>
      </c>
      <c r="BC14" s="62">
        <v>5</v>
      </c>
      <c r="BD14" s="490">
        <v>4.8</v>
      </c>
      <c r="BE14" s="62">
        <v>5</v>
      </c>
      <c r="BF14" s="62">
        <v>4.9</v>
      </c>
      <c r="BG14" s="23">
        <v>4.5</v>
      </c>
      <c r="BH14" s="23">
        <v>4.3</v>
      </c>
      <c r="BI14" s="23">
        <v>4.7</v>
      </c>
    </row>
    <row r="15" spans="1:188" s="213" customFormat="1" ht="12.75">
      <c r="A15" s="31" t="s">
        <v>589</v>
      </c>
      <c r="B15" s="13" t="e">
        <f>#REF!+#REF!</f>
        <v>#REF!</v>
      </c>
      <c r="C15" s="13" t="e">
        <f>#REF!+#REF!</f>
        <v>#REF!</v>
      </c>
      <c r="D15" s="13" t="e">
        <f>#REF!+#REF!</f>
        <v>#REF!</v>
      </c>
      <c r="E15" s="13" t="e">
        <f>#REF!+#REF!</f>
        <v>#REF!</v>
      </c>
      <c r="F15" s="13" t="e">
        <f>#REF!+#REF!</f>
        <v>#REF!</v>
      </c>
      <c r="G15" s="13" t="e">
        <f>#REF!+#REF!</f>
        <v>#REF!</v>
      </c>
      <c r="H15" s="13" t="e">
        <f>#REF!+#REF!</f>
        <v>#REF!</v>
      </c>
      <c r="I15" s="13" t="e">
        <f>#REF!+#REF!</f>
        <v>#REF!</v>
      </c>
      <c r="J15" s="13" t="e">
        <f>#REF!+#REF!</f>
        <v>#REF!</v>
      </c>
      <c r="K15" s="13" t="e">
        <f>#REF!+#REF!</f>
        <v>#REF!</v>
      </c>
      <c r="L15" s="13" t="e">
        <f>#REF!+#REF!</f>
        <v>#REF!</v>
      </c>
      <c r="M15" s="13" t="e">
        <f>#REF!+#REF!</f>
        <v>#REF!</v>
      </c>
      <c r="N15" s="13" t="e">
        <f>#REF!+#REF!</f>
        <v>#REF!</v>
      </c>
      <c r="O15" s="13" t="e">
        <f>#REF!+#REF!</f>
        <v>#REF!</v>
      </c>
      <c r="P15" s="13" t="e">
        <f>#REF!+#REF!</f>
        <v>#REF!</v>
      </c>
      <c r="Q15" s="13" t="e">
        <f>#REF!+#REF!</f>
        <v>#REF!</v>
      </c>
      <c r="R15" s="13" t="e">
        <f>#REF!+#REF!</f>
        <v>#REF!</v>
      </c>
      <c r="S15" s="13" t="e">
        <f>#REF!+#REF!</f>
        <v>#REF!</v>
      </c>
      <c r="T15" s="13" t="e">
        <f>#REF!+#REF!</f>
        <v>#REF!</v>
      </c>
      <c r="U15" s="13" t="e">
        <f>#REF!+#REF!</f>
        <v>#REF!</v>
      </c>
      <c r="V15" s="13" t="e">
        <f>#REF!+#REF!</f>
        <v>#REF!</v>
      </c>
      <c r="W15" s="13" t="e">
        <f>#REF!+#REF!</f>
        <v>#REF!</v>
      </c>
      <c r="X15" s="13" t="e">
        <f>#REF!+#REF!</f>
        <v>#REF!</v>
      </c>
      <c r="Y15" s="13" t="e">
        <f>#REF!+#REF!</f>
        <v>#REF!</v>
      </c>
      <c r="Z15" s="13" t="e">
        <f>#REF!+#REF!</f>
        <v>#REF!</v>
      </c>
      <c r="AA15" s="13" t="e">
        <f>#REF!+#REF!</f>
        <v>#REF!</v>
      </c>
      <c r="AB15" s="13" t="e">
        <f>#REF!+#REF!</f>
        <v>#REF!</v>
      </c>
      <c r="AC15" s="13" t="e">
        <f>#REF!+#REF!</f>
        <v>#REF!</v>
      </c>
      <c r="AD15" s="13" t="e">
        <f>#REF!+#REF!</f>
        <v>#REF!</v>
      </c>
      <c r="AE15" s="13" t="e">
        <f>#REF!+#REF!</f>
        <v>#REF!</v>
      </c>
      <c r="AF15" s="13" t="e">
        <f>#REF!+#REF!</f>
        <v>#REF!</v>
      </c>
      <c r="AG15" s="13" t="e">
        <f>#REF!+#REF!</f>
        <v>#REF!</v>
      </c>
      <c r="AH15" s="13" t="e">
        <f>#REF!+#REF!</f>
        <v>#REF!</v>
      </c>
      <c r="AI15" s="13" t="e">
        <f>#REF!+#REF!</f>
        <v>#REF!</v>
      </c>
      <c r="AJ15" s="13" t="e">
        <f>#REF!+#REF!</f>
        <v>#REF!</v>
      </c>
      <c r="AK15" s="13" t="e">
        <f>#REF!+#REF!</f>
        <v>#REF!</v>
      </c>
      <c r="AL15" s="13" t="e">
        <f>#REF!+#REF!</f>
        <v>#REF!</v>
      </c>
      <c r="AM15" s="13" t="e">
        <f>#REF!+#REF!</f>
        <v>#REF!</v>
      </c>
      <c r="AN15" s="13" t="e">
        <f>#REF!+#REF!</f>
        <v>#REF!</v>
      </c>
      <c r="AO15" s="13" t="e">
        <f>#REF!+#REF!</f>
        <v>#REF!</v>
      </c>
      <c r="AP15" s="325"/>
      <c r="AQ15" s="325"/>
      <c r="AR15" s="325"/>
      <c r="AS15" s="325"/>
      <c r="AT15" s="325"/>
      <c r="AU15" s="325"/>
      <c r="AV15" s="325"/>
      <c r="AW15" s="325"/>
      <c r="AX15" s="491">
        <v>13.9</v>
      </c>
      <c r="AY15" s="490">
        <v>13.7</v>
      </c>
      <c r="AZ15" s="491">
        <v>16.7</v>
      </c>
      <c r="BA15" s="491">
        <v>15.8</v>
      </c>
      <c r="BB15" s="491">
        <v>15.1</v>
      </c>
      <c r="BC15" s="491">
        <v>14.1</v>
      </c>
      <c r="BD15" s="490">
        <v>15.4</v>
      </c>
      <c r="BE15" s="491">
        <v>10.7</v>
      </c>
      <c r="BF15" s="491">
        <v>8.5</v>
      </c>
      <c r="BG15" s="213">
        <v>8.4</v>
      </c>
      <c r="BH15" s="213">
        <v>8.4</v>
      </c>
      <c r="BI15" s="43">
        <v>9</v>
      </c>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row>
    <row r="16" spans="1:61" ht="12.75">
      <c r="A16" s="31" t="s">
        <v>37</v>
      </c>
      <c r="B16" s="59"/>
      <c r="C16" s="59"/>
      <c r="D16" s="59"/>
      <c r="E16" s="59"/>
      <c r="F16" s="13"/>
      <c r="G16" s="59"/>
      <c r="H16" s="59"/>
      <c r="I16" s="59"/>
      <c r="J16" s="59"/>
      <c r="K16" s="13"/>
      <c r="L16" s="59"/>
      <c r="M16" s="59"/>
      <c r="N16" s="59"/>
      <c r="O16" s="59"/>
      <c r="P16" s="13"/>
      <c r="Q16" s="59"/>
      <c r="R16" s="59"/>
      <c r="S16" s="59"/>
      <c r="T16" s="59"/>
      <c r="U16" s="13"/>
      <c r="V16" s="59"/>
      <c r="W16" s="59"/>
      <c r="X16" s="59"/>
      <c r="Y16" s="59"/>
      <c r="Z16" s="13"/>
      <c r="AA16" s="59"/>
      <c r="AB16" s="59"/>
      <c r="AC16" s="59"/>
      <c r="AD16" s="59"/>
      <c r="AE16" s="13"/>
      <c r="AF16" s="59"/>
      <c r="AG16" s="59"/>
      <c r="AH16" s="59"/>
      <c r="AI16" s="59"/>
      <c r="AJ16" s="13"/>
      <c r="AK16" s="59"/>
      <c r="AL16" s="59"/>
      <c r="AM16" s="59"/>
      <c r="AN16" s="59"/>
      <c r="AO16" s="13"/>
      <c r="AP16" s="325"/>
      <c r="AQ16" s="325"/>
      <c r="AR16" s="325"/>
      <c r="AS16" s="325"/>
      <c r="AT16" s="325"/>
      <c r="AU16" s="325"/>
      <c r="AV16" s="325"/>
      <c r="AW16" s="325"/>
      <c r="AX16" s="62">
        <v>5.7</v>
      </c>
      <c r="AY16" s="490">
        <v>6</v>
      </c>
      <c r="AZ16" s="62">
        <v>5.2</v>
      </c>
      <c r="BA16" s="62">
        <v>4.8</v>
      </c>
      <c r="BB16" s="62">
        <v>4.7</v>
      </c>
      <c r="BC16" s="62">
        <v>4.7</v>
      </c>
      <c r="BD16" s="490">
        <v>4.8</v>
      </c>
      <c r="BE16" s="62">
        <v>4.4</v>
      </c>
      <c r="BF16" s="62">
        <v>5.1</v>
      </c>
      <c r="BG16" s="23">
        <v>5.5</v>
      </c>
      <c r="BH16" s="23">
        <v>5.2</v>
      </c>
      <c r="BI16" s="23">
        <v>5.1</v>
      </c>
    </row>
    <row r="17" spans="1:61" ht="12.75">
      <c r="A17" s="31" t="s">
        <v>406</v>
      </c>
      <c r="B17" s="59"/>
      <c r="C17" s="59"/>
      <c r="D17" s="59"/>
      <c r="E17" s="59"/>
      <c r="F17" s="13"/>
      <c r="G17" s="59"/>
      <c r="H17" s="59"/>
      <c r="I17" s="59"/>
      <c r="J17" s="59"/>
      <c r="K17" s="13"/>
      <c r="L17" s="59"/>
      <c r="M17" s="59"/>
      <c r="N17" s="59"/>
      <c r="O17" s="59"/>
      <c r="P17" s="13"/>
      <c r="Q17" s="59"/>
      <c r="R17" s="59"/>
      <c r="S17" s="59"/>
      <c r="T17" s="59"/>
      <c r="U17" s="13"/>
      <c r="V17" s="59"/>
      <c r="W17" s="59"/>
      <c r="X17" s="59"/>
      <c r="Y17" s="59"/>
      <c r="Z17" s="13"/>
      <c r="AA17" s="59"/>
      <c r="AB17" s="59"/>
      <c r="AC17" s="59"/>
      <c r="AD17" s="59"/>
      <c r="AE17" s="13"/>
      <c r="AF17" s="59"/>
      <c r="AG17" s="59"/>
      <c r="AH17" s="59"/>
      <c r="AI17" s="59"/>
      <c r="AJ17" s="13"/>
      <c r="AK17" s="59"/>
      <c r="AL17" s="59"/>
      <c r="AM17" s="59"/>
      <c r="AN17" s="59"/>
      <c r="AO17" s="13"/>
      <c r="AP17" s="325"/>
      <c r="AQ17" s="325"/>
      <c r="AR17" s="325"/>
      <c r="AS17" s="325"/>
      <c r="AT17" s="325"/>
      <c r="AU17" s="325"/>
      <c r="AV17" s="325"/>
      <c r="AW17" s="325"/>
      <c r="AX17" s="62">
        <v>6.9</v>
      </c>
      <c r="AY17" s="490">
        <v>6.8</v>
      </c>
      <c r="AZ17" s="62">
        <v>7</v>
      </c>
      <c r="BA17" s="62">
        <v>6.8</v>
      </c>
      <c r="BB17" s="62">
        <v>5.5</v>
      </c>
      <c r="BC17" s="62">
        <v>4.5</v>
      </c>
      <c r="BD17" s="490">
        <v>6</v>
      </c>
      <c r="BE17" s="62">
        <v>2.8</v>
      </c>
      <c r="BF17" s="62">
        <v>2.7</v>
      </c>
      <c r="BG17" s="23">
        <v>2.2</v>
      </c>
      <c r="BH17" s="23">
        <v>2.5</v>
      </c>
      <c r="BI17" s="23">
        <v>2.5</v>
      </c>
    </row>
    <row r="18" spans="1:61" ht="12.75">
      <c r="A18" s="31" t="s">
        <v>575</v>
      </c>
      <c r="B18" s="59"/>
      <c r="C18" s="59"/>
      <c r="D18" s="59"/>
      <c r="E18" s="59"/>
      <c r="F18" s="13"/>
      <c r="G18" s="59"/>
      <c r="H18" s="59"/>
      <c r="I18" s="59"/>
      <c r="J18" s="59"/>
      <c r="K18" s="13"/>
      <c r="L18" s="59"/>
      <c r="M18" s="59"/>
      <c r="N18" s="59"/>
      <c r="O18" s="59"/>
      <c r="P18" s="13"/>
      <c r="Q18" s="59"/>
      <c r="R18" s="59"/>
      <c r="S18" s="59"/>
      <c r="T18" s="59"/>
      <c r="U18" s="13"/>
      <c r="V18" s="59"/>
      <c r="W18" s="59"/>
      <c r="X18" s="59"/>
      <c r="Y18" s="59"/>
      <c r="Z18" s="13"/>
      <c r="AA18" s="59"/>
      <c r="AB18" s="59"/>
      <c r="AC18" s="59"/>
      <c r="AD18" s="59"/>
      <c r="AE18" s="13"/>
      <c r="AF18" s="59"/>
      <c r="AG18" s="59"/>
      <c r="AH18" s="59"/>
      <c r="AI18" s="59"/>
      <c r="AJ18" s="13"/>
      <c r="AK18" s="59"/>
      <c r="AL18" s="59"/>
      <c r="AM18" s="59"/>
      <c r="AN18" s="59"/>
      <c r="AO18" s="13"/>
      <c r="AP18" s="325"/>
      <c r="AQ18" s="325"/>
      <c r="AR18" s="325"/>
      <c r="AS18" s="325"/>
      <c r="AT18" s="325"/>
      <c r="AU18" s="325"/>
      <c r="AV18" s="325"/>
      <c r="AW18" s="325"/>
      <c r="AX18" s="62">
        <v>0.7</v>
      </c>
      <c r="AY18" s="490">
        <v>0.4</v>
      </c>
      <c r="AZ18" s="62">
        <v>3.8</v>
      </c>
      <c r="BA18" s="62">
        <v>3.7</v>
      </c>
      <c r="BB18" s="62">
        <v>4.2</v>
      </c>
      <c r="BC18" s="62">
        <v>4.2</v>
      </c>
      <c r="BD18" s="490">
        <v>4</v>
      </c>
      <c r="BE18" s="62">
        <v>2.8</v>
      </c>
      <c r="BF18" s="62">
        <v>0</v>
      </c>
      <c r="BG18" s="235">
        <v>0</v>
      </c>
      <c r="BH18" s="235">
        <v>0</v>
      </c>
      <c r="BI18" s="235">
        <v>0.7</v>
      </c>
    </row>
    <row r="19" spans="1:61" ht="12.75">
      <c r="A19" s="31" t="s">
        <v>577</v>
      </c>
      <c r="B19" s="59"/>
      <c r="C19" s="59"/>
      <c r="D19" s="59"/>
      <c r="E19" s="59"/>
      <c r="F19" s="13"/>
      <c r="G19" s="59"/>
      <c r="H19" s="59"/>
      <c r="I19" s="59"/>
      <c r="J19" s="59"/>
      <c r="K19" s="13"/>
      <c r="L19" s="59"/>
      <c r="M19" s="59"/>
      <c r="N19" s="59"/>
      <c r="O19" s="59"/>
      <c r="P19" s="13"/>
      <c r="Q19" s="59"/>
      <c r="R19" s="59"/>
      <c r="S19" s="59"/>
      <c r="T19" s="59"/>
      <c r="U19" s="13"/>
      <c r="V19" s="59"/>
      <c r="W19" s="59"/>
      <c r="X19" s="59"/>
      <c r="Y19" s="59"/>
      <c r="Z19" s="13"/>
      <c r="AA19" s="59"/>
      <c r="AB19" s="59"/>
      <c r="AC19" s="59"/>
      <c r="AD19" s="59"/>
      <c r="AE19" s="13"/>
      <c r="AF19" s="59"/>
      <c r="AG19" s="59"/>
      <c r="AH19" s="59"/>
      <c r="AI19" s="59"/>
      <c r="AJ19" s="13"/>
      <c r="AK19" s="59"/>
      <c r="AL19" s="59"/>
      <c r="AM19" s="59"/>
      <c r="AN19" s="59"/>
      <c r="AO19" s="13"/>
      <c r="AP19" s="325"/>
      <c r="AQ19" s="325"/>
      <c r="AR19" s="325"/>
      <c r="AS19" s="325"/>
      <c r="AT19" s="325"/>
      <c r="AU19" s="325"/>
      <c r="AV19" s="325"/>
      <c r="AW19" s="325"/>
      <c r="AX19" s="62">
        <v>0.6</v>
      </c>
      <c r="AY19" s="490">
        <v>0.5</v>
      </c>
      <c r="AZ19" s="62">
        <v>0.7</v>
      </c>
      <c r="BA19" s="62">
        <v>0.7</v>
      </c>
      <c r="BB19" s="62">
        <v>0.7</v>
      </c>
      <c r="BC19" s="62">
        <v>0.7</v>
      </c>
      <c r="BD19" s="490">
        <v>0.7</v>
      </c>
      <c r="BE19" s="62">
        <v>0.7</v>
      </c>
      <c r="BF19" s="62">
        <v>0.7</v>
      </c>
      <c r="BG19" s="23">
        <v>0.7</v>
      </c>
      <c r="BH19" s="23">
        <v>0.7</v>
      </c>
      <c r="BI19" s="23">
        <v>0.7</v>
      </c>
    </row>
    <row r="20" spans="1:188" s="213" customFormat="1" ht="12.75">
      <c r="A20" s="31" t="s">
        <v>588</v>
      </c>
      <c r="B20" s="212">
        <v>94592.17617677778</v>
      </c>
      <c r="C20" s="212">
        <v>82984.56838117601</v>
      </c>
      <c r="D20" s="212">
        <v>72122.5459045146</v>
      </c>
      <c r="E20" s="212">
        <v>101119.5451094745</v>
      </c>
      <c r="F20" s="13">
        <v>87688.50860620527</v>
      </c>
      <c r="G20" s="212">
        <v>94044.422643695</v>
      </c>
      <c r="H20" s="212">
        <v>75404.16403823278</v>
      </c>
      <c r="I20" s="212">
        <v>67131.9655002179</v>
      </c>
      <c r="J20" s="212">
        <v>83214.58345874278</v>
      </c>
      <c r="K20" s="13">
        <v>79883.99854694826</v>
      </c>
      <c r="L20" s="212">
        <v>94158.16737110389</v>
      </c>
      <c r="M20" s="212">
        <v>93001.7701447643</v>
      </c>
      <c r="N20" s="212">
        <v>81583.07825343616</v>
      </c>
      <c r="O20" s="212">
        <v>96601.15737188525</v>
      </c>
      <c r="P20" s="13">
        <v>91322.55129430247</v>
      </c>
      <c r="Q20" s="212">
        <v>101268.0999559459</v>
      </c>
      <c r="R20" s="212">
        <v>102544.09918117679</v>
      </c>
      <c r="S20" s="212">
        <v>98907.22695759733</v>
      </c>
      <c r="T20" s="212">
        <v>102933.65814951276</v>
      </c>
      <c r="U20" s="13">
        <v>101320.13315308125</v>
      </c>
      <c r="V20" s="212">
        <v>103874.59254840609</v>
      </c>
      <c r="W20" s="212">
        <v>96778.38040415378</v>
      </c>
      <c r="X20" s="212">
        <v>100515.42962684702</v>
      </c>
      <c r="Y20" s="212">
        <v>104325.98724679738</v>
      </c>
      <c r="Z20" s="13">
        <v>101055.39791510989</v>
      </c>
      <c r="AA20" s="212">
        <v>112845.26897110495</v>
      </c>
      <c r="AB20" s="212">
        <v>99148.23379462089</v>
      </c>
      <c r="AC20" s="212">
        <v>97503.08666422345</v>
      </c>
      <c r="AD20" s="212">
        <v>101905</v>
      </c>
      <c r="AE20" s="13">
        <v>102618</v>
      </c>
      <c r="AF20" s="212">
        <v>92982</v>
      </c>
      <c r="AG20" s="212">
        <v>87499</v>
      </c>
      <c r="AH20" s="212">
        <v>91197</v>
      </c>
      <c r="AI20" s="212">
        <v>90276</v>
      </c>
      <c r="AJ20" s="13">
        <v>90436</v>
      </c>
      <c r="AK20" s="212">
        <v>86449</v>
      </c>
      <c r="AL20" s="212">
        <v>84406</v>
      </c>
      <c r="AM20" s="212">
        <v>88083</v>
      </c>
      <c r="AN20" s="212">
        <v>86485</v>
      </c>
      <c r="AO20" s="13">
        <v>86301</v>
      </c>
      <c r="AP20" s="325"/>
      <c r="AQ20" s="325"/>
      <c r="AR20" s="325"/>
      <c r="AS20" s="325"/>
      <c r="AT20" s="325"/>
      <c r="AU20" s="325"/>
      <c r="AV20" s="325"/>
      <c r="AW20" s="325"/>
      <c r="AX20" s="212">
        <v>144.8</v>
      </c>
      <c r="AY20" s="355">
        <v>143.5</v>
      </c>
      <c r="AZ20" s="492">
        <v>151.2</v>
      </c>
      <c r="BA20" s="492">
        <v>149.2</v>
      </c>
      <c r="BB20" s="492">
        <v>145.8</v>
      </c>
      <c r="BC20" s="492">
        <v>143.4</v>
      </c>
      <c r="BD20" s="490">
        <v>147.4</v>
      </c>
      <c r="BE20" s="492">
        <v>134.1</v>
      </c>
      <c r="BF20" s="492">
        <v>113.7</v>
      </c>
      <c r="BG20" s="43">
        <v>112</v>
      </c>
      <c r="BH20" s="43">
        <v>114.2</v>
      </c>
      <c r="BI20" s="43">
        <v>118.5</v>
      </c>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row>
    <row r="21" spans="1:56" ht="12.75">
      <c r="A21" s="495" t="s">
        <v>584</v>
      </c>
      <c r="B21" s="59"/>
      <c r="C21" s="59"/>
      <c r="D21" s="59"/>
      <c r="E21" s="59"/>
      <c r="F21" s="211"/>
      <c r="G21" s="59"/>
      <c r="H21" s="59"/>
      <c r="I21" s="59"/>
      <c r="J21" s="59"/>
      <c r="K21" s="211"/>
      <c r="L21" s="59"/>
      <c r="M21" s="59"/>
      <c r="N21" s="59"/>
      <c r="O21" s="59"/>
      <c r="P21" s="211"/>
      <c r="Q21" s="59"/>
      <c r="R21" s="59"/>
      <c r="S21" s="59"/>
      <c r="T21" s="59"/>
      <c r="U21" s="211"/>
      <c r="V21" s="59"/>
      <c r="W21" s="59"/>
      <c r="X21" s="59"/>
      <c r="Y21" s="59"/>
      <c r="Z21" s="211"/>
      <c r="AA21" s="59"/>
      <c r="AB21" s="59"/>
      <c r="AC21" s="59"/>
      <c r="AD21" s="59"/>
      <c r="AE21" s="211"/>
      <c r="AF21" s="59"/>
      <c r="AG21" s="59"/>
      <c r="AH21" s="59"/>
      <c r="AI21" s="59"/>
      <c r="AJ21" s="211"/>
      <c r="AK21" s="59"/>
      <c r="AL21" s="59"/>
      <c r="AM21" s="59"/>
      <c r="AN21" s="59"/>
      <c r="AO21" s="211"/>
      <c r="AP21" s="478"/>
      <c r="AQ21" s="478"/>
      <c r="AR21" s="478"/>
      <c r="AS21" s="478"/>
      <c r="AT21" s="478"/>
      <c r="AU21" s="478"/>
      <c r="AV21" s="478"/>
      <c r="AW21" s="478"/>
      <c r="AY21" s="370"/>
      <c r="AZ21" s="478"/>
      <c r="BD21" s="370"/>
    </row>
    <row r="22" spans="1:56" ht="12.75">
      <c r="A22" s="26" t="s">
        <v>374</v>
      </c>
      <c r="B22" s="59"/>
      <c r="C22" s="59"/>
      <c r="D22" s="59"/>
      <c r="E22" s="59"/>
      <c r="F22" s="211"/>
      <c r="G22" s="59"/>
      <c r="H22" s="59"/>
      <c r="I22" s="59"/>
      <c r="J22" s="59"/>
      <c r="K22" s="211"/>
      <c r="L22" s="59"/>
      <c r="M22" s="59"/>
      <c r="N22" s="59"/>
      <c r="O22" s="59"/>
      <c r="P22" s="211"/>
      <c r="Q22" s="59"/>
      <c r="R22" s="59"/>
      <c r="S22" s="59"/>
      <c r="T22" s="59"/>
      <c r="U22" s="211"/>
      <c r="V22" s="59"/>
      <c r="W22" s="59"/>
      <c r="X22" s="59"/>
      <c r="Y22" s="59"/>
      <c r="Z22" s="211"/>
      <c r="AA22" s="59"/>
      <c r="AB22" s="59"/>
      <c r="AC22" s="59"/>
      <c r="AD22" s="59"/>
      <c r="AE22" s="211"/>
      <c r="AF22" s="59"/>
      <c r="AG22" s="59"/>
      <c r="AH22" s="59"/>
      <c r="AI22" s="59"/>
      <c r="AJ22" s="211"/>
      <c r="AK22" s="59"/>
      <c r="AL22" s="59"/>
      <c r="AM22" s="59"/>
      <c r="AN22" s="59"/>
      <c r="AO22" s="211"/>
      <c r="AP22" s="478"/>
      <c r="AQ22" s="478"/>
      <c r="AR22" s="478"/>
      <c r="AS22" s="478"/>
      <c r="AT22" s="478"/>
      <c r="AU22" s="478"/>
      <c r="AV22" s="478"/>
      <c r="AW22" s="478"/>
      <c r="AY22" s="370"/>
      <c r="AZ22" s="478"/>
      <c r="BD22" s="370"/>
    </row>
    <row r="23" spans="1:56" ht="12.75">
      <c r="A23" s="26" t="s">
        <v>587</v>
      </c>
      <c r="B23" s="59"/>
      <c r="C23" s="59"/>
      <c r="D23" s="59"/>
      <c r="E23" s="59"/>
      <c r="F23" s="211"/>
      <c r="G23" s="59"/>
      <c r="H23" s="59"/>
      <c r="I23" s="59"/>
      <c r="J23" s="59"/>
      <c r="K23" s="211"/>
      <c r="L23" s="59"/>
      <c r="M23" s="59"/>
      <c r="N23" s="59"/>
      <c r="O23" s="59"/>
      <c r="P23" s="211"/>
      <c r="Q23" s="59"/>
      <c r="R23" s="59"/>
      <c r="S23" s="59"/>
      <c r="T23" s="59"/>
      <c r="U23" s="211"/>
      <c r="V23" s="59"/>
      <c r="W23" s="59"/>
      <c r="X23" s="59"/>
      <c r="Y23" s="59"/>
      <c r="Z23" s="211"/>
      <c r="AA23" s="59"/>
      <c r="AB23" s="59"/>
      <c r="AC23" s="59"/>
      <c r="AD23" s="59"/>
      <c r="AE23" s="211"/>
      <c r="AF23" s="59"/>
      <c r="AG23" s="59"/>
      <c r="AH23" s="59"/>
      <c r="AI23" s="59"/>
      <c r="AJ23" s="211"/>
      <c r="AK23" s="59"/>
      <c r="AL23" s="59"/>
      <c r="AM23" s="59"/>
      <c r="AN23" s="59"/>
      <c r="AO23" s="211"/>
      <c r="AP23" s="478"/>
      <c r="AQ23" s="478"/>
      <c r="AR23" s="478"/>
      <c r="AS23" s="478"/>
      <c r="AT23" s="478"/>
      <c r="AU23" s="478"/>
      <c r="AV23" s="478"/>
      <c r="AW23" s="478"/>
      <c r="AY23" s="370"/>
      <c r="AZ23" s="478"/>
      <c r="BD23" s="370"/>
    </row>
    <row r="24" spans="1:61" ht="25.5">
      <c r="A24" s="31" t="s">
        <v>43</v>
      </c>
      <c r="B24" s="6" t="s">
        <v>2</v>
      </c>
      <c r="C24" s="6" t="s">
        <v>3</v>
      </c>
      <c r="D24" s="6" t="s">
        <v>4</v>
      </c>
      <c r="E24" s="6" t="s">
        <v>5</v>
      </c>
      <c r="F24" s="6" t="s">
        <v>6</v>
      </c>
      <c r="G24" s="6" t="s">
        <v>12</v>
      </c>
      <c r="H24" s="6" t="s">
        <v>13</v>
      </c>
      <c r="I24" s="6" t="s">
        <v>14</v>
      </c>
      <c r="J24" s="6" t="s">
        <v>15</v>
      </c>
      <c r="K24" s="6" t="s">
        <v>16</v>
      </c>
      <c r="L24" s="6" t="s">
        <v>17</v>
      </c>
      <c r="M24" s="6" t="s">
        <v>18</v>
      </c>
      <c r="N24" s="6" t="s">
        <v>19</v>
      </c>
      <c r="O24" s="6" t="s">
        <v>20</v>
      </c>
      <c r="P24" s="6" t="s">
        <v>21</v>
      </c>
      <c r="Q24" s="6" t="s">
        <v>22</v>
      </c>
      <c r="R24" s="6" t="s">
        <v>23</v>
      </c>
      <c r="S24" s="6" t="s">
        <v>24</v>
      </c>
      <c r="T24" s="6" t="s">
        <v>25</v>
      </c>
      <c r="U24" s="6" t="s">
        <v>26</v>
      </c>
      <c r="V24" s="6" t="s">
        <v>27</v>
      </c>
      <c r="W24" s="6" t="s">
        <v>28</v>
      </c>
      <c r="X24" s="6" t="s">
        <v>29</v>
      </c>
      <c r="Y24" s="6" t="s">
        <v>30</v>
      </c>
      <c r="Z24" s="6" t="s">
        <v>31</v>
      </c>
      <c r="AA24" s="6" t="s">
        <v>32</v>
      </c>
      <c r="AB24" s="6" t="s">
        <v>33</v>
      </c>
      <c r="AC24" s="6" t="s">
        <v>34</v>
      </c>
      <c r="AD24" s="6" t="s">
        <v>271</v>
      </c>
      <c r="AE24" s="6" t="s">
        <v>272</v>
      </c>
      <c r="AF24" s="6" t="s">
        <v>274</v>
      </c>
      <c r="AG24" s="6" t="s">
        <v>276</v>
      </c>
      <c r="AH24" s="6" t="s">
        <v>278</v>
      </c>
      <c r="AI24" s="6" t="s">
        <v>280</v>
      </c>
      <c r="AJ24" s="6" t="s">
        <v>281</v>
      </c>
      <c r="AK24" s="6" t="s">
        <v>289</v>
      </c>
      <c r="AL24" s="6" t="s">
        <v>290</v>
      </c>
      <c r="AM24" s="6" t="s">
        <v>291</v>
      </c>
      <c r="AN24" s="6" t="s">
        <v>292</v>
      </c>
      <c r="AO24" s="6" t="s">
        <v>293</v>
      </c>
      <c r="AP24" s="6" t="s">
        <v>329</v>
      </c>
      <c r="AQ24" s="6" t="s">
        <v>330</v>
      </c>
      <c r="AR24" s="6" t="s">
        <v>331</v>
      </c>
      <c r="AS24" s="6" t="s">
        <v>332</v>
      </c>
      <c r="AT24" s="6" t="s">
        <v>333</v>
      </c>
      <c r="AU24" s="6" t="s">
        <v>448</v>
      </c>
      <c r="AV24" s="6" t="s">
        <v>451</v>
      </c>
      <c r="AW24" s="6" t="s">
        <v>453</v>
      </c>
      <c r="AX24" s="6" t="s">
        <v>454</v>
      </c>
      <c r="AY24" s="6" t="s">
        <v>457</v>
      </c>
      <c r="AZ24" s="6" t="s">
        <v>495</v>
      </c>
      <c r="BA24" s="6" t="s">
        <v>554</v>
      </c>
      <c r="BB24" s="6" t="s">
        <v>561</v>
      </c>
      <c r="BC24" s="6" t="s">
        <v>570</v>
      </c>
      <c r="BD24" s="6" t="s">
        <v>574</v>
      </c>
      <c r="BE24" s="6" t="str">
        <f>BE1</f>
        <v>Q1 2012</v>
      </c>
      <c r="BF24" s="6" t="s">
        <v>554</v>
      </c>
      <c r="BG24" s="6" t="s">
        <v>605</v>
      </c>
      <c r="BH24" s="6" t="str">
        <f>BH1</f>
        <v>Q4 2012</v>
      </c>
      <c r="BI24" s="6" t="str">
        <f>BI1</f>
        <v>FY 2012</v>
      </c>
    </row>
    <row r="25" spans="1:56" ht="12.75">
      <c r="A25" s="31"/>
      <c r="B25" s="59"/>
      <c r="C25" s="59"/>
      <c r="D25" s="59"/>
      <c r="E25" s="59"/>
      <c r="F25" s="13"/>
      <c r="G25" s="59"/>
      <c r="H25" s="59"/>
      <c r="I25" s="59"/>
      <c r="J25" s="59"/>
      <c r="K25" s="13"/>
      <c r="L25" s="59"/>
      <c r="M25" s="59"/>
      <c r="N25" s="59"/>
      <c r="O25" s="59"/>
      <c r="P25" s="13"/>
      <c r="Q25" s="59"/>
      <c r="R25" s="59"/>
      <c r="S25" s="59"/>
      <c r="T25" s="59"/>
      <c r="U25" s="13"/>
      <c r="V25" s="59"/>
      <c r="W25" s="59"/>
      <c r="X25" s="59"/>
      <c r="Y25" s="59"/>
      <c r="Z25" s="13"/>
      <c r="AA25" s="59"/>
      <c r="AB25" s="59"/>
      <c r="AC25" s="59"/>
      <c r="AD25" s="59"/>
      <c r="AE25" s="13"/>
      <c r="AF25" s="59"/>
      <c r="AG25" s="59"/>
      <c r="AH25" s="59"/>
      <c r="AI25" s="59"/>
      <c r="AJ25" s="13"/>
      <c r="AK25" s="59"/>
      <c r="AL25" s="59"/>
      <c r="AM25" s="59"/>
      <c r="AN25" s="59"/>
      <c r="AO25" s="13"/>
      <c r="AP25" s="59"/>
      <c r="AQ25" s="59"/>
      <c r="AR25" s="59"/>
      <c r="AS25" s="59"/>
      <c r="AT25" s="13"/>
      <c r="AU25" s="59"/>
      <c r="AY25" s="355"/>
      <c r="BD25" s="355"/>
    </row>
    <row r="26" spans="1:61" ht="12.75">
      <c r="A26" s="31" t="s">
        <v>578</v>
      </c>
      <c r="B26" s="59">
        <v>23.568475112359213</v>
      </c>
      <c r="C26" s="59">
        <v>24.920683137513535</v>
      </c>
      <c r="D26" s="59">
        <v>23.13591081778986</v>
      </c>
      <c r="E26" s="59">
        <v>17.821148424092314</v>
      </c>
      <c r="F26" s="13">
        <v>22.321594371883773</v>
      </c>
      <c r="G26" s="59">
        <v>19.2388016580299</v>
      </c>
      <c r="H26" s="59">
        <v>22.783339623086782</v>
      </c>
      <c r="I26" s="59">
        <v>24.436128594453578</v>
      </c>
      <c r="J26" s="59">
        <v>24.202323606972996</v>
      </c>
      <c r="K26" s="13">
        <v>22.520589361379923</v>
      </c>
      <c r="L26" s="59">
        <v>28.79132905609564</v>
      </c>
      <c r="M26" s="59">
        <v>21.625722987022325</v>
      </c>
      <c r="N26" s="59">
        <v>24.157893815637088</v>
      </c>
      <c r="O26" s="59">
        <v>24.66625351189881</v>
      </c>
      <c r="P26" s="13">
        <v>24.46746010066268</v>
      </c>
      <c r="Q26" s="59">
        <v>24.70538187336274</v>
      </c>
      <c r="R26" s="59">
        <v>28.420270468898067</v>
      </c>
      <c r="S26" s="59">
        <v>32.35322486833248</v>
      </c>
      <c r="T26" s="59">
        <v>30.217403447108044</v>
      </c>
      <c r="U26" s="13">
        <v>28.95731786451042</v>
      </c>
      <c r="V26" s="59">
        <v>34.74661285033767</v>
      </c>
      <c r="W26" s="59">
        <v>38.7427764436532</v>
      </c>
      <c r="X26" s="59">
        <v>48.56577463270425</v>
      </c>
      <c r="Y26" s="59">
        <v>43.299824637343875</v>
      </c>
      <c r="Z26" s="13">
        <v>41.2</v>
      </c>
      <c r="AA26" s="59">
        <v>47.23615221231506</v>
      </c>
      <c r="AB26" s="59">
        <v>52.12310892077903</v>
      </c>
      <c r="AC26" s="59">
        <v>54.401495151411396</v>
      </c>
      <c r="AD26" s="59">
        <v>45.5</v>
      </c>
      <c r="AE26" s="13">
        <v>49.8</v>
      </c>
      <c r="AF26" s="59">
        <v>43.5</v>
      </c>
      <c r="AG26" s="59">
        <v>53.6</v>
      </c>
      <c r="AH26" s="59">
        <v>59.2</v>
      </c>
      <c r="AI26" s="59">
        <v>69.3</v>
      </c>
      <c r="AJ26" s="13">
        <v>56.2</v>
      </c>
      <c r="AK26" s="59">
        <v>75.7</v>
      </c>
      <c r="AL26" s="59">
        <v>95.5</v>
      </c>
      <c r="AM26" s="59">
        <v>89.6</v>
      </c>
      <c r="AN26" s="59">
        <v>41.7</v>
      </c>
      <c r="AO26" s="13">
        <v>74.7</v>
      </c>
      <c r="AP26" s="59">
        <v>32.8</v>
      </c>
      <c r="AQ26" s="59">
        <v>47</v>
      </c>
      <c r="AR26" s="59">
        <v>55.7</v>
      </c>
      <c r="AS26" s="59">
        <v>62.3</v>
      </c>
      <c r="AT26" s="13">
        <v>51.5</v>
      </c>
      <c r="AU26" s="59">
        <v>60.8</v>
      </c>
      <c r="AV26" s="23">
        <v>63.2</v>
      </c>
      <c r="AW26" s="23">
        <v>62.4</v>
      </c>
      <c r="AX26" s="23">
        <v>68.6</v>
      </c>
      <c r="AY26" s="355">
        <v>63.9</v>
      </c>
      <c r="AZ26" s="23">
        <v>80.9</v>
      </c>
      <c r="BA26" s="23">
        <v>94.9</v>
      </c>
      <c r="BB26" s="23">
        <v>89.2</v>
      </c>
      <c r="BC26" s="23">
        <v>85.1</v>
      </c>
      <c r="BD26" s="355">
        <v>87.5</v>
      </c>
      <c r="BE26" s="23">
        <v>91.6</v>
      </c>
      <c r="BF26" s="235">
        <v>84</v>
      </c>
      <c r="BG26" s="23">
        <v>83.9</v>
      </c>
      <c r="BH26" s="23">
        <v>86.3</v>
      </c>
      <c r="BI26" s="23">
        <v>86.4</v>
      </c>
    </row>
    <row r="27" spans="1:61" ht="12.75">
      <c r="A27" s="31" t="s">
        <v>579</v>
      </c>
      <c r="B27" s="59"/>
      <c r="C27" s="59"/>
      <c r="D27" s="59"/>
      <c r="E27" s="59"/>
      <c r="F27" s="13"/>
      <c r="G27" s="59"/>
      <c r="H27" s="59"/>
      <c r="I27" s="59"/>
      <c r="J27" s="59"/>
      <c r="K27" s="13"/>
      <c r="L27" s="59"/>
      <c r="M27" s="59"/>
      <c r="N27" s="59"/>
      <c r="O27" s="59"/>
      <c r="P27" s="13"/>
      <c r="Q27" s="59"/>
      <c r="R27" s="59"/>
      <c r="S27" s="59"/>
      <c r="T27" s="59"/>
      <c r="U27" s="13"/>
      <c r="V27" s="59"/>
      <c r="W27" s="59"/>
      <c r="X27" s="59"/>
      <c r="Y27" s="59"/>
      <c r="Z27" s="13"/>
      <c r="AA27" s="59"/>
      <c r="AB27" s="59"/>
      <c r="AC27" s="59"/>
      <c r="AD27" s="59"/>
      <c r="AE27" s="13"/>
      <c r="AF27" s="59"/>
      <c r="AG27" s="59"/>
      <c r="AH27" s="59"/>
      <c r="AI27" s="59"/>
      <c r="AJ27" s="13"/>
      <c r="AK27" s="59"/>
      <c r="AL27" s="59"/>
      <c r="AM27" s="59"/>
      <c r="AN27" s="59"/>
      <c r="AO27" s="13"/>
      <c r="AP27" s="325"/>
      <c r="AQ27" s="325"/>
      <c r="AR27" s="325"/>
      <c r="AS27" s="325"/>
      <c r="AT27" s="325"/>
      <c r="AU27" s="325"/>
      <c r="AV27" s="325"/>
      <c r="AW27" s="325"/>
      <c r="AX27" s="23">
        <v>53.8</v>
      </c>
      <c r="AY27" s="355">
        <v>52.5</v>
      </c>
      <c r="AZ27" s="23">
        <v>55.9</v>
      </c>
      <c r="BA27" s="23">
        <v>60.9</v>
      </c>
      <c r="BB27" s="235">
        <v>64</v>
      </c>
      <c r="BC27" s="23">
        <v>63.8</v>
      </c>
      <c r="BD27" s="355">
        <v>61.1</v>
      </c>
      <c r="BE27" s="23">
        <v>68.1</v>
      </c>
      <c r="BF27" s="235">
        <v>67.6</v>
      </c>
      <c r="BG27" s="235">
        <v>62</v>
      </c>
      <c r="BH27" s="235">
        <v>60.9</v>
      </c>
      <c r="BI27" s="235">
        <v>64.6</v>
      </c>
    </row>
    <row r="28" spans="1:61" ht="12.75">
      <c r="A28" s="31" t="s">
        <v>232</v>
      </c>
      <c r="B28" s="59">
        <v>15.084143109173205</v>
      </c>
      <c r="C28" s="59">
        <v>16.416061235412187</v>
      </c>
      <c r="D28" s="59">
        <v>16.133673729705773</v>
      </c>
      <c r="E28" s="59">
        <v>13.453065039607594</v>
      </c>
      <c r="F28" s="13">
        <v>15.126939340016218</v>
      </c>
      <c r="G28" s="59">
        <v>14.800699046508884</v>
      </c>
      <c r="H28" s="59">
        <v>16.757663453790308</v>
      </c>
      <c r="I28" s="59">
        <v>17.991395178016997</v>
      </c>
      <c r="J28" s="59">
        <v>18.023143966389863</v>
      </c>
      <c r="K28" s="13">
        <v>16.765403401869857</v>
      </c>
      <c r="L28" s="59">
        <v>21.027659022243416</v>
      </c>
      <c r="M28" s="59">
        <v>19.486766340826126</v>
      </c>
      <c r="N28" s="59">
        <v>21.042257760275866</v>
      </c>
      <c r="O28" s="59">
        <v>21.594063029000296</v>
      </c>
      <c r="P28" s="13">
        <v>20.80732837930599</v>
      </c>
      <c r="Q28" s="59">
        <v>24.64755265419112</v>
      </c>
      <c r="R28" s="59">
        <v>26.992160748889326</v>
      </c>
      <c r="S28" s="59">
        <v>30.246478698251963</v>
      </c>
      <c r="T28" s="59">
        <v>30.27171049392824</v>
      </c>
      <c r="U28" s="13">
        <v>27.987533207410824</v>
      </c>
      <c r="V28" s="59">
        <v>33.43336654688363</v>
      </c>
      <c r="W28" s="59">
        <v>37.02447973992378</v>
      </c>
      <c r="X28" s="59">
        <v>43.81490752616159</v>
      </c>
      <c r="Y28" s="59">
        <v>43.711823509580434</v>
      </c>
      <c r="Z28" s="13">
        <v>39.68795891337043</v>
      </c>
      <c r="AA28" s="59">
        <v>47.4</v>
      </c>
      <c r="AB28" s="59">
        <v>50.7</v>
      </c>
      <c r="AC28" s="59">
        <v>52.3</v>
      </c>
      <c r="AD28" s="59">
        <v>48</v>
      </c>
      <c r="AE28" s="13">
        <v>49.5</v>
      </c>
      <c r="AF28" s="59">
        <v>46.8</v>
      </c>
      <c r="AG28" s="59">
        <v>51.1</v>
      </c>
      <c r="AH28" s="59">
        <v>54</v>
      </c>
      <c r="AI28" s="59">
        <v>61.9</v>
      </c>
      <c r="AJ28" s="13">
        <v>53.4</v>
      </c>
      <c r="AK28" s="59">
        <v>69.9</v>
      </c>
      <c r="AL28" s="59">
        <v>83.4</v>
      </c>
      <c r="AM28" s="59">
        <v>86.7</v>
      </c>
      <c r="AN28" s="59">
        <v>63.7</v>
      </c>
      <c r="AO28" s="13">
        <v>75.4</v>
      </c>
      <c r="AP28" s="59">
        <v>55.4</v>
      </c>
      <c r="AQ28" s="59">
        <v>52.5</v>
      </c>
      <c r="AR28" s="59">
        <v>49.5</v>
      </c>
      <c r="AS28" s="59">
        <v>51.1</v>
      </c>
      <c r="AT28" s="13">
        <v>51</v>
      </c>
      <c r="AU28" s="59">
        <v>55.9</v>
      </c>
      <c r="AV28" s="23">
        <v>57.4</v>
      </c>
      <c r="AW28" s="235">
        <v>57.4</v>
      </c>
      <c r="AX28" s="23">
        <v>60.9</v>
      </c>
      <c r="AY28" s="355">
        <v>57.9</v>
      </c>
      <c r="AZ28" s="235">
        <v>67.1</v>
      </c>
      <c r="BA28" s="235">
        <v>75.8</v>
      </c>
      <c r="BB28" s="23">
        <v>73.9</v>
      </c>
      <c r="BC28" s="235">
        <v>74</v>
      </c>
      <c r="BD28" s="355">
        <v>72.7</v>
      </c>
      <c r="BE28" s="235">
        <v>79.7</v>
      </c>
      <c r="BF28" s="235">
        <v>76</v>
      </c>
      <c r="BG28" s="23">
        <v>72.6</v>
      </c>
      <c r="BH28" s="23">
        <v>74.2</v>
      </c>
      <c r="BI28" s="23">
        <v>75.6</v>
      </c>
    </row>
    <row r="29" spans="1:51" ht="12.75">
      <c r="A29" s="26"/>
      <c r="B29" s="59"/>
      <c r="C29" s="59"/>
      <c r="D29" s="59"/>
      <c r="E29" s="59"/>
      <c r="F29" s="211"/>
      <c r="G29" s="59"/>
      <c r="H29" s="59"/>
      <c r="I29" s="59"/>
      <c r="J29" s="59"/>
      <c r="K29" s="211"/>
      <c r="L29" s="59"/>
      <c r="M29" s="59"/>
      <c r="N29" s="59"/>
      <c r="O29" s="59"/>
      <c r="P29" s="211"/>
      <c r="Q29" s="59"/>
      <c r="R29" s="59"/>
      <c r="S29" s="59"/>
      <c r="T29" s="59"/>
      <c r="U29" s="211"/>
      <c r="V29" s="59"/>
      <c r="W29" s="59"/>
      <c r="X29" s="59"/>
      <c r="Y29" s="59"/>
      <c r="Z29" s="211"/>
      <c r="AA29" s="59"/>
      <c r="AB29" s="59"/>
      <c r="AC29" s="59"/>
      <c r="AD29" s="59"/>
      <c r="AE29" s="211"/>
      <c r="AF29" s="59"/>
      <c r="AG29" s="59"/>
      <c r="AH29" s="59"/>
      <c r="AI29" s="59"/>
      <c r="AJ29" s="211"/>
      <c r="AK29" s="59"/>
      <c r="AL29" s="59"/>
      <c r="AM29" s="59"/>
      <c r="AN29" s="59"/>
      <c r="AO29" s="211"/>
      <c r="AP29" s="59"/>
      <c r="AQ29" s="59"/>
      <c r="AR29" s="59"/>
      <c r="AS29" s="475"/>
      <c r="AT29" s="476"/>
      <c r="AU29" s="59"/>
      <c r="AW29" s="477"/>
      <c r="AY29" s="370"/>
    </row>
    <row r="30" spans="1:51" ht="12.75">
      <c r="A30" s="26"/>
      <c r="B30" s="59"/>
      <c r="C30" s="59"/>
      <c r="D30" s="59"/>
      <c r="E30" s="59"/>
      <c r="F30" s="211"/>
      <c r="G30" s="59"/>
      <c r="H30" s="59"/>
      <c r="I30" s="59"/>
      <c r="J30" s="59"/>
      <c r="K30" s="211"/>
      <c r="L30" s="59"/>
      <c r="M30" s="59"/>
      <c r="N30" s="59"/>
      <c r="O30" s="59"/>
      <c r="P30" s="211"/>
      <c r="Q30" s="59"/>
      <c r="R30" s="59"/>
      <c r="S30" s="59"/>
      <c r="T30" s="59"/>
      <c r="U30" s="211"/>
      <c r="V30" s="59"/>
      <c r="W30" s="59"/>
      <c r="X30" s="59"/>
      <c r="Y30" s="59"/>
      <c r="Z30" s="211"/>
      <c r="AA30" s="59"/>
      <c r="AB30" s="59"/>
      <c r="AC30" s="59"/>
      <c r="AD30" s="59"/>
      <c r="AE30" s="211"/>
      <c r="AF30" s="59"/>
      <c r="AG30" s="59"/>
      <c r="AH30" s="59"/>
      <c r="AI30" s="59"/>
      <c r="AJ30" s="211"/>
      <c r="AK30" s="59"/>
      <c r="AL30" s="59"/>
      <c r="AM30" s="59"/>
      <c r="AN30" s="59"/>
      <c r="AO30" s="211"/>
      <c r="AP30" s="59"/>
      <c r="AQ30" s="59"/>
      <c r="AR30" s="59"/>
      <c r="AS30" s="475"/>
      <c r="AT30" s="476"/>
      <c r="AU30" s="59"/>
      <c r="AW30" s="477"/>
      <c r="AY30" s="370"/>
    </row>
    <row r="31" spans="1:58" ht="12.75">
      <c r="A31" s="131" t="s">
        <v>524</v>
      </c>
      <c r="B31" s="59"/>
      <c r="C31" s="59"/>
      <c r="D31" s="59"/>
      <c r="E31" s="59"/>
      <c r="F31" s="211"/>
      <c r="G31" s="59"/>
      <c r="H31" s="59"/>
      <c r="I31" s="59"/>
      <c r="J31" s="59"/>
      <c r="K31" s="211"/>
      <c r="L31" s="59"/>
      <c r="M31" s="59"/>
      <c r="N31" s="59"/>
      <c r="O31" s="59"/>
      <c r="P31" s="211"/>
      <c r="Q31" s="59"/>
      <c r="R31" s="59"/>
      <c r="S31" s="59"/>
      <c r="T31" s="59"/>
      <c r="U31" s="211"/>
      <c r="V31" s="59"/>
      <c r="W31" s="59"/>
      <c r="X31" s="59"/>
      <c r="Y31" s="59"/>
      <c r="Z31" s="211"/>
      <c r="AA31" s="59"/>
      <c r="AB31" s="59"/>
      <c r="AC31" s="59"/>
      <c r="AD31" s="59"/>
      <c r="AE31" s="211"/>
      <c r="AF31" s="59"/>
      <c r="AG31" s="59"/>
      <c r="AH31" s="59"/>
      <c r="AI31" s="59"/>
      <c r="AJ31" s="211"/>
      <c r="AK31" s="59"/>
      <c r="AL31" s="59"/>
      <c r="AM31" s="59"/>
      <c r="AN31" s="59"/>
      <c r="AO31" s="211"/>
      <c r="AP31" s="59"/>
      <c r="AQ31" s="59"/>
      <c r="AR31" s="59"/>
      <c r="AS31" s="59"/>
      <c r="AT31" s="211"/>
      <c r="AU31" s="59"/>
      <c r="AV31" s="222"/>
      <c r="AW31" s="222"/>
      <c r="AX31" s="222"/>
      <c r="AY31" s="370"/>
      <c r="AZ31" s="211"/>
      <c r="BA31" s="478"/>
      <c r="BB31" s="211"/>
      <c r="BC31" s="478"/>
      <c r="BD31" s="478"/>
      <c r="BE31" s="478"/>
      <c r="BF31" s="478"/>
    </row>
    <row r="32" spans="1:188" s="213" customFormat="1" ht="12.75">
      <c r="A32" s="31" t="s">
        <v>376</v>
      </c>
      <c r="B32" s="13">
        <v>256.0386</v>
      </c>
      <c r="C32" s="13">
        <v>243.4269</v>
      </c>
      <c r="D32" s="13">
        <v>255.77870000000007</v>
      </c>
      <c r="E32" s="13">
        <v>255.50600000000003</v>
      </c>
      <c r="F32" s="13">
        <v>1010.7502000000001</v>
      </c>
      <c r="G32" s="13">
        <v>256</v>
      </c>
      <c r="H32" s="13">
        <v>249</v>
      </c>
      <c r="I32" s="13">
        <v>251</v>
      </c>
      <c r="J32" s="13">
        <v>249</v>
      </c>
      <c r="K32" s="13">
        <v>1005</v>
      </c>
      <c r="L32" s="13">
        <v>258.42740000000003</v>
      </c>
      <c r="M32" s="13">
        <v>519.2727999999997</v>
      </c>
      <c r="N32" s="13">
        <v>431</v>
      </c>
      <c r="O32" s="13">
        <v>495.4</v>
      </c>
      <c r="P32" s="13">
        <v>1704.1001999999999</v>
      </c>
      <c r="Q32" s="13">
        <v>500.7797</v>
      </c>
      <c r="R32" s="13">
        <v>524.3079</v>
      </c>
      <c r="S32" s="13">
        <v>570.5305999999999</v>
      </c>
      <c r="T32" s="13">
        <v>576.0541</v>
      </c>
      <c r="U32" s="13">
        <v>2171.6723</v>
      </c>
      <c r="V32" s="13">
        <v>558</v>
      </c>
      <c r="W32" s="13">
        <v>555</v>
      </c>
      <c r="X32" s="13">
        <v>562</v>
      </c>
      <c r="Y32" s="13">
        <v>578</v>
      </c>
      <c r="Z32" s="13">
        <v>2253</v>
      </c>
      <c r="AA32" s="13">
        <v>553</v>
      </c>
      <c r="AB32" s="13">
        <v>542</v>
      </c>
      <c r="AC32" s="13">
        <v>538</v>
      </c>
      <c r="AD32" s="13">
        <v>534</v>
      </c>
      <c r="AE32" s="13">
        <v>2167</v>
      </c>
      <c r="AF32" s="13">
        <v>523</v>
      </c>
      <c r="AG32" s="13">
        <f>SUM(AG33:AG35)</f>
        <v>538</v>
      </c>
      <c r="AH32" s="13">
        <f>SUM(AH33:AH35)</f>
        <v>541</v>
      </c>
      <c r="AI32" s="13">
        <v>521</v>
      </c>
      <c r="AJ32" s="13">
        <v>2122</v>
      </c>
      <c r="AK32" s="13">
        <v>489</v>
      </c>
      <c r="AL32" s="13">
        <v>481</v>
      </c>
      <c r="AM32" s="13">
        <v>480</v>
      </c>
      <c r="AN32" s="13">
        <v>472</v>
      </c>
      <c r="AO32" s="13">
        <v>1924</v>
      </c>
      <c r="AP32" s="13">
        <v>438</v>
      </c>
      <c r="AQ32" s="13">
        <v>431</v>
      </c>
      <c r="AR32" s="13">
        <f>SUM(AR33:AR36)</f>
        <v>606</v>
      </c>
      <c r="AS32" s="13">
        <v>685</v>
      </c>
      <c r="AT32" s="13">
        <v>2162</v>
      </c>
      <c r="AU32" s="231">
        <v>603</v>
      </c>
      <c r="AV32" s="231">
        <v>618</v>
      </c>
      <c r="AW32" s="231">
        <v>617</v>
      </c>
      <c r="AX32" s="231">
        <v>603</v>
      </c>
      <c r="AY32" s="355">
        <v>2440</v>
      </c>
      <c r="AZ32" s="231">
        <v>584</v>
      </c>
      <c r="BA32" s="231">
        <v>576</v>
      </c>
      <c r="BB32" s="231">
        <v>576</v>
      </c>
      <c r="BC32" s="325"/>
      <c r="BD32" s="325"/>
      <c r="BE32" s="325"/>
      <c r="BF32" s="325"/>
      <c r="BG32" s="325"/>
      <c r="BH32" s="325"/>
      <c r="BI32" s="325"/>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row>
    <row r="33" spans="1:61" ht="12.75">
      <c r="A33" s="31" t="s">
        <v>37</v>
      </c>
      <c r="B33" s="59">
        <v>256.0386</v>
      </c>
      <c r="C33" s="59">
        <v>243.4269</v>
      </c>
      <c r="D33" s="59">
        <v>255.77870000000007</v>
      </c>
      <c r="E33" s="59">
        <v>255.50600000000003</v>
      </c>
      <c r="F33" s="13">
        <v>1010.7502000000001</v>
      </c>
      <c r="G33" s="59">
        <v>256</v>
      </c>
      <c r="H33" s="59">
        <v>249</v>
      </c>
      <c r="I33" s="59">
        <v>251</v>
      </c>
      <c r="J33" s="59">
        <v>249</v>
      </c>
      <c r="K33" s="13">
        <v>1005</v>
      </c>
      <c r="L33" s="59">
        <v>258.42740000000003</v>
      </c>
      <c r="M33" s="59">
        <v>263.2727999999998</v>
      </c>
      <c r="N33" s="59">
        <v>276</v>
      </c>
      <c r="O33" s="59">
        <v>285.4</v>
      </c>
      <c r="P33" s="13">
        <v>1083.1001999999999</v>
      </c>
      <c r="Q33" s="59">
        <v>262.7797</v>
      </c>
      <c r="R33" s="59">
        <v>259.30789999999996</v>
      </c>
      <c r="S33" s="59">
        <v>256.53059999999994</v>
      </c>
      <c r="T33" s="59">
        <v>245.05409999999998</v>
      </c>
      <c r="U33" s="13">
        <v>1023.6723</v>
      </c>
      <c r="V33" s="59">
        <v>231</v>
      </c>
      <c r="W33" s="59">
        <v>218</v>
      </c>
      <c r="X33" s="59">
        <v>216</v>
      </c>
      <c r="Y33" s="59">
        <v>219</v>
      </c>
      <c r="Z33" s="13">
        <v>884</v>
      </c>
      <c r="AA33" s="59">
        <v>215</v>
      </c>
      <c r="AB33" s="59">
        <v>208</v>
      </c>
      <c r="AC33" s="59">
        <v>215</v>
      </c>
      <c r="AD33" s="59">
        <v>219</v>
      </c>
      <c r="AE33" s="13">
        <v>857</v>
      </c>
      <c r="AF33" s="59">
        <v>206</v>
      </c>
      <c r="AG33" s="59">
        <v>203</v>
      </c>
      <c r="AH33" s="59">
        <v>203</v>
      </c>
      <c r="AI33" s="59">
        <v>188</v>
      </c>
      <c r="AJ33" s="13">
        <v>799</v>
      </c>
      <c r="AK33" s="59">
        <v>181</v>
      </c>
      <c r="AL33" s="59">
        <v>195</v>
      </c>
      <c r="AM33" s="59">
        <v>183</v>
      </c>
      <c r="AN33" s="59">
        <v>183</v>
      </c>
      <c r="AO33" s="13">
        <v>743</v>
      </c>
      <c r="AP33" s="59">
        <v>176</v>
      </c>
      <c r="AQ33" s="59">
        <v>177</v>
      </c>
      <c r="AR33" s="59">
        <v>177</v>
      </c>
      <c r="AS33" s="59">
        <v>186</v>
      </c>
      <c r="AT33" s="13">
        <v>715</v>
      </c>
      <c r="AU33" s="232">
        <v>170</v>
      </c>
      <c r="AV33" s="232">
        <v>166</v>
      </c>
      <c r="AW33" s="232">
        <v>156</v>
      </c>
      <c r="AX33" s="232">
        <v>155</v>
      </c>
      <c r="AY33" s="355">
        <v>647</v>
      </c>
      <c r="AZ33" s="232">
        <v>155</v>
      </c>
      <c r="BA33" s="232">
        <v>157</v>
      </c>
      <c r="BB33" s="232">
        <v>144</v>
      </c>
      <c r="BC33" s="325"/>
      <c r="BD33" s="325"/>
      <c r="BE33" s="325"/>
      <c r="BF33" s="325"/>
      <c r="BG33" s="325"/>
      <c r="BH33" s="325"/>
      <c r="BI33" s="325"/>
    </row>
    <row r="34" spans="1:61" ht="12.75">
      <c r="A34" s="31" t="s">
        <v>406</v>
      </c>
      <c r="B34" s="59"/>
      <c r="C34" s="59"/>
      <c r="D34" s="59"/>
      <c r="E34" s="59"/>
      <c r="F34" s="13"/>
      <c r="G34" s="59"/>
      <c r="H34" s="59"/>
      <c r="I34" s="59"/>
      <c r="J34" s="59"/>
      <c r="K34" s="13"/>
      <c r="L34" s="59"/>
      <c r="M34" s="59"/>
      <c r="N34" s="59"/>
      <c r="O34" s="59"/>
      <c r="P34" s="13"/>
      <c r="Q34" s="59"/>
      <c r="R34" s="59"/>
      <c r="S34" s="59"/>
      <c r="T34" s="59"/>
      <c r="U34" s="13"/>
      <c r="V34" s="59"/>
      <c r="W34" s="59"/>
      <c r="X34" s="59"/>
      <c r="Y34" s="59"/>
      <c r="Z34" s="13"/>
      <c r="AA34" s="59"/>
      <c r="AB34" s="59"/>
      <c r="AC34" s="59"/>
      <c r="AD34" s="59"/>
      <c r="AE34" s="13"/>
      <c r="AF34" s="59"/>
      <c r="AG34" s="59"/>
      <c r="AH34" s="59"/>
      <c r="AI34" s="59"/>
      <c r="AJ34" s="13"/>
      <c r="AK34" s="59"/>
      <c r="AL34" s="59"/>
      <c r="AM34" s="59"/>
      <c r="AN34" s="59"/>
      <c r="AO34" s="13"/>
      <c r="AP34" s="59"/>
      <c r="AQ34" s="59"/>
      <c r="AR34" s="59">
        <v>132</v>
      </c>
      <c r="AS34" s="59">
        <v>129</v>
      </c>
      <c r="AT34" s="13">
        <v>262</v>
      </c>
      <c r="AU34" s="232">
        <v>122</v>
      </c>
      <c r="AV34" s="232">
        <v>118</v>
      </c>
      <c r="AW34" s="232">
        <v>121</v>
      </c>
      <c r="AX34" s="232">
        <v>118</v>
      </c>
      <c r="AY34" s="355">
        <v>478</v>
      </c>
      <c r="AZ34" s="232">
        <v>115</v>
      </c>
      <c r="BA34" s="232">
        <v>115</v>
      </c>
      <c r="BB34" s="232">
        <v>114</v>
      </c>
      <c r="BC34" s="325"/>
      <c r="BD34" s="325"/>
      <c r="BE34" s="325"/>
      <c r="BF34" s="325"/>
      <c r="BG34" s="325"/>
      <c r="BH34" s="325"/>
      <c r="BI34" s="325"/>
    </row>
    <row r="35" spans="1:61" ht="12.75">
      <c r="A35" s="31" t="s">
        <v>405</v>
      </c>
      <c r="B35" s="59">
        <v>0</v>
      </c>
      <c r="C35" s="59">
        <v>0</v>
      </c>
      <c r="D35" s="59">
        <v>0</v>
      </c>
      <c r="E35" s="59">
        <v>0</v>
      </c>
      <c r="F35" s="13">
        <v>0</v>
      </c>
      <c r="G35" s="59">
        <v>0</v>
      </c>
      <c r="H35" s="59">
        <v>0</v>
      </c>
      <c r="I35" s="59">
        <v>0</v>
      </c>
      <c r="J35" s="59">
        <v>0</v>
      </c>
      <c r="K35" s="13">
        <v>0</v>
      </c>
      <c r="L35" s="59">
        <v>0</v>
      </c>
      <c r="M35" s="59">
        <v>256</v>
      </c>
      <c r="N35" s="59">
        <v>155</v>
      </c>
      <c r="O35" s="59">
        <v>210</v>
      </c>
      <c r="P35" s="13">
        <v>621</v>
      </c>
      <c r="Q35" s="59">
        <v>238</v>
      </c>
      <c r="R35" s="59">
        <v>265</v>
      </c>
      <c r="S35" s="59">
        <v>314</v>
      </c>
      <c r="T35" s="59">
        <v>331</v>
      </c>
      <c r="U35" s="13">
        <v>1148</v>
      </c>
      <c r="V35" s="59">
        <v>327</v>
      </c>
      <c r="W35" s="59">
        <v>337</v>
      </c>
      <c r="X35" s="59">
        <v>346</v>
      </c>
      <c r="Y35" s="59">
        <v>359</v>
      </c>
      <c r="Z35" s="13">
        <v>1369</v>
      </c>
      <c r="AA35" s="59">
        <v>338</v>
      </c>
      <c r="AB35" s="59">
        <v>334</v>
      </c>
      <c r="AC35" s="59">
        <v>323</v>
      </c>
      <c r="AD35" s="59">
        <v>315</v>
      </c>
      <c r="AE35" s="13">
        <v>1310</v>
      </c>
      <c r="AF35" s="59">
        <v>317</v>
      </c>
      <c r="AG35" s="59">
        <v>335</v>
      </c>
      <c r="AH35" s="59">
        <v>338</v>
      </c>
      <c r="AI35" s="59">
        <v>333</v>
      </c>
      <c r="AJ35" s="13">
        <v>1323</v>
      </c>
      <c r="AK35" s="59">
        <v>308</v>
      </c>
      <c r="AL35" s="59">
        <v>286</v>
      </c>
      <c r="AM35" s="59">
        <v>297</v>
      </c>
      <c r="AN35" s="59">
        <v>289</v>
      </c>
      <c r="AO35" s="13">
        <v>1181</v>
      </c>
      <c r="AP35" s="59">
        <v>262</v>
      </c>
      <c r="AQ35" s="59">
        <v>254</v>
      </c>
      <c r="AR35" s="59">
        <v>250</v>
      </c>
      <c r="AS35" s="59">
        <v>244</v>
      </c>
      <c r="AT35" s="13">
        <v>1011</v>
      </c>
      <c r="AU35" s="232">
        <v>238</v>
      </c>
      <c r="AV35" s="232">
        <v>255</v>
      </c>
      <c r="AW35" s="232">
        <v>252</v>
      </c>
      <c r="AX35" s="232">
        <v>248</v>
      </c>
      <c r="AY35" s="355">
        <v>994</v>
      </c>
      <c r="AZ35" s="232">
        <v>236</v>
      </c>
      <c r="BA35" s="232">
        <v>231</v>
      </c>
      <c r="BB35" s="232">
        <v>237</v>
      </c>
      <c r="BC35" s="325"/>
      <c r="BD35" s="325"/>
      <c r="BE35" s="325"/>
      <c r="BF35" s="325"/>
      <c r="BG35" s="325"/>
      <c r="BH35" s="325"/>
      <c r="BI35" s="325"/>
    </row>
    <row r="36" spans="1:61" ht="12.75">
      <c r="A36" s="31" t="s">
        <v>279</v>
      </c>
      <c r="B36" s="59"/>
      <c r="C36" s="59"/>
      <c r="D36" s="59"/>
      <c r="E36" s="59"/>
      <c r="F36" s="13"/>
      <c r="G36" s="59"/>
      <c r="H36" s="59"/>
      <c r="I36" s="59"/>
      <c r="J36" s="59"/>
      <c r="K36" s="13"/>
      <c r="L36" s="59"/>
      <c r="M36" s="59"/>
      <c r="N36" s="59"/>
      <c r="O36" s="59"/>
      <c r="P36" s="13"/>
      <c r="Q36" s="59"/>
      <c r="R36" s="59"/>
      <c r="S36" s="59"/>
      <c r="T36" s="59"/>
      <c r="U36" s="13"/>
      <c r="V36" s="59"/>
      <c r="W36" s="59"/>
      <c r="X36" s="59"/>
      <c r="Y36" s="59"/>
      <c r="Z36" s="13"/>
      <c r="AA36" s="59"/>
      <c r="AB36" s="59"/>
      <c r="AC36" s="59"/>
      <c r="AD36" s="59"/>
      <c r="AE36" s="13"/>
      <c r="AF36" s="59"/>
      <c r="AG36" s="59"/>
      <c r="AH36" s="59"/>
      <c r="AI36" s="59"/>
      <c r="AJ36" s="13"/>
      <c r="AK36" s="59"/>
      <c r="AL36" s="59"/>
      <c r="AM36" s="59"/>
      <c r="AN36" s="59"/>
      <c r="AO36" s="13"/>
      <c r="AP36" s="59"/>
      <c r="AQ36" s="59"/>
      <c r="AR36" s="59">
        <v>47</v>
      </c>
      <c r="AS36" s="59">
        <v>126</v>
      </c>
      <c r="AT36" s="13">
        <v>174</v>
      </c>
      <c r="AU36" s="232">
        <v>73</v>
      </c>
      <c r="AV36" s="232">
        <v>79</v>
      </c>
      <c r="AW36" s="232">
        <v>88</v>
      </c>
      <c r="AX36" s="232">
        <v>82</v>
      </c>
      <c r="AY36" s="355">
        <v>321</v>
      </c>
      <c r="AZ36" s="232">
        <v>78</v>
      </c>
      <c r="BA36" s="232">
        <v>73</v>
      </c>
      <c r="BB36" s="232">
        <v>81</v>
      </c>
      <c r="BC36" s="325"/>
      <c r="BD36" s="325"/>
      <c r="BE36" s="325"/>
      <c r="BF36" s="325"/>
      <c r="BG36" s="325"/>
      <c r="BH36" s="325"/>
      <c r="BI36" s="325"/>
    </row>
    <row r="37" spans="1:188" s="213" customFormat="1" ht="14.25">
      <c r="A37" s="31" t="s">
        <v>377</v>
      </c>
      <c r="B37" s="13">
        <v>867</v>
      </c>
      <c r="C37" s="13">
        <v>755</v>
      </c>
      <c r="D37" s="13">
        <v>621</v>
      </c>
      <c r="E37" s="13">
        <v>983</v>
      </c>
      <c r="F37" s="13">
        <v>3226</v>
      </c>
      <c r="G37" s="13">
        <v>882.56795</v>
      </c>
      <c r="H37" s="13">
        <v>695.52895</v>
      </c>
      <c r="I37" s="13">
        <v>618.28278</v>
      </c>
      <c r="J37" s="13">
        <v>813.412651</v>
      </c>
      <c r="K37" s="13">
        <v>3009.792331</v>
      </c>
      <c r="L37" s="13">
        <v>839</v>
      </c>
      <c r="M37" s="13">
        <v>639</v>
      </c>
      <c r="N37" s="13">
        <v>608</v>
      </c>
      <c r="O37" s="13">
        <v>735</v>
      </c>
      <c r="P37" s="13">
        <v>2821</v>
      </c>
      <c r="Q37" s="13">
        <v>767</v>
      </c>
      <c r="R37" s="13">
        <v>763</v>
      </c>
      <c r="S37" s="13">
        <v>667</v>
      </c>
      <c r="T37" s="13">
        <v>730</v>
      </c>
      <c r="U37" s="13">
        <v>2927</v>
      </c>
      <c r="V37" s="13">
        <v>732</v>
      </c>
      <c r="W37" s="13">
        <v>647</v>
      </c>
      <c r="X37" s="13">
        <v>724</v>
      </c>
      <c r="Y37" s="13">
        <v>770</v>
      </c>
      <c r="Z37" s="13">
        <v>2874</v>
      </c>
      <c r="AA37" s="13">
        <v>862</v>
      </c>
      <c r="AB37" s="13">
        <v>695</v>
      </c>
      <c r="AC37" s="13">
        <v>725</v>
      </c>
      <c r="AD37" s="13">
        <v>796</v>
      </c>
      <c r="AE37" s="13">
        <v>3079</v>
      </c>
      <c r="AF37" s="13">
        <v>656</v>
      </c>
      <c r="AG37" s="13">
        <f>SUM(AG38:AG40)</f>
        <v>585</v>
      </c>
      <c r="AH37" s="13">
        <f>SUM(AH38:AH40)</f>
        <v>642</v>
      </c>
      <c r="AI37" s="13">
        <v>662</v>
      </c>
      <c r="AJ37" s="13">
        <v>2546</v>
      </c>
      <c r="AK37" s="13">
        <v>617</v>
      </c>
      <c r="AL37" s="13">
        <v>596</v>
      </c>
      <c r="AM37" s="13">
        <v>657</v>
      </c>
      <c r="AN37" s="13">
        <v>664</v>
      </c>
      <c r="AO37" s="13">
        <v>2533</v>
      </c>
      <c r="AP37" s="13">
        <v>629</v>
      </c>
      <c r="AQ37" s="13">
        <v>514</v>
      </c>
      <c r="AR37" s="13">
        <f>SUM(AR38:AR40)</f>
        <v>1074</v>
      </c>
      <c r="AS37" s="13">
        <v>1165</v>
      </c>
      <c r="AT37" s="13">
        <v>3382</v>
      </c>
      <c r="AU37" s="231">
        <v>1213</v>
      </c>
      <c r="AV37" s="231">
        <v>1268</v>
      </c>
      <c r="AW37" s="231">
        <v>1253</v>
      </c>
      <c r="AX37" s="231">
        <v>1297</v>
      </c>
      <c r="AY37" s="355">
        <v>5031</v>
      </c>
      <c r="AZ37" s="231">
        <v>1341</v>
      </c>
      <c r="BA37" s="231">
        <v>1355</v>
      </c>
      <c r="BB37" s="231">
        <v>1335</v>
      </c>
      <c r="BC37" s="325"/>
      <c r="BD37" s="325"/>
      <c r="BE37" s="325"/>
      <c r="BF37" s="325"/>
      <c r="BG37" s="325"/>
      <c r="BH37" s="325"/>
      <c r="BI37" s="325"/>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row>
    <row r="38" spans="1:61" ht="12.75">
      <c r="A38" s="31" t="s">
        <v>37</v>
      </c>
      <c r="B38" s="59">
        <v>867</v>
      </c>
      <c r="C38" s="59">
        <v>755</v>
      </c>
      <c r="D38" s="59">
        <v>621</v>
      </c>
      <c r="E38" s="59">
        <v>983</v>
      </c>
      <c r="F38" s="13">
        <v>3226</v>
      </c>
      <c r="G38" s="59">
        <v>882.56795</v>
      </c>
      <c r="H38" s="59">
        <v>695.52895</v>
      </c>
      <c r="I38" s="59">
        <v>618.28278</v>
      </c>
      <c r="J38" s="59">
        <v>813.412651</v>
      </c>
      <c r="K38" s="13">
        <v>3009.792331</v>
      </c>
      <c r="L38" s="59">
        <v>839</v>
      </c>
      <c r="M38" s="59">
        <v>639</v>
      </c>
      <c r="N38" s="59">
        <v>608</v>
      </c>
      <c r="O38" s="59">
        <v>735</v>
      </c>
      <c r="P38" s="13">
        <v>2821</v>
      </c>
      <c r="Q38" s="59">
        <v>767</v>
      </c>
      <c r="R38" s="59">
        <v>763</v>
      </c>
      <c r="S38" s="59">
        <v>667</v>
      </c>
      <c r="T38" s="59">
        <v>730</v>
      </c>
      <c r="U38" s="13">
        <v>2927</v>
      </c>
      <c r="V38" s="59">
        <v>727</v>
      </c>
      <c r="W38" s="59">
        <v>640</v>
      </c>
      <c r="X38" s="59">
        <v>716</v>
      </c>
      <c r="Y38" s="59">
        <v>760</v>
      </c>
      <c r="Z38" s="13">
        <v>2843</v>
      </c>
      <c r="AA38" s="59">
        <v>851</v>
      </c>
      <c r="AB38" s="59">
        <v>685</v>
      </c>
      <c r="AC38" s="59">
        <v>713</v>
      </c>
      <c r="AD38" s="59">
        <v>779</v>
      </c>
      <c r="AE38" s="13">
        <v>3028</v>
      </c>
      <c r="AF38" s="59">
        <v>641</v>
      </c>
      <c r="AG38" s="59">
        <v>572</v>
      </c>
      <c r="AH38" s="59">
        <v>627</v>
      </c>
      <c r="AI38" s="59">
        <v>648</v>
      </c>
      <c r="AJ38" s="13">
        <v>2488</v>
      </c>
      <c r="AK38" s="59">
        <v>604</v>
      </c>
      <c r="AL38" s="59">
        <v>583</v>
      </c>
      <c r="AM38" s="59">
        <v>644</v>
      </c>
      <c r="AN38" s="59">
        <v>650</v>
      </c>
      <c r="AO38" s="13">
        <v>2480</v>
      </c>
      <c r="AP38" s="59">
        <v>616</v>
      </c>
      <c r="AQ38" s="59">
        <v>502</v>
      </c>
      <c r="AR38" s="59">
        <v>568</v>
      </c>
      <c r="AS38" s="59">
        <v>594</v>
      </c>
      <c r="AT38" s="13">
        <v>2280</v>
      </c>
      <c r="AU38" s="232">
        <v>561</v>
      </c>
      <c r="AV38" s="232">
        <v>555</v>
      </c>
      <c r="AW38" s="232">
        <v>535</v>
      </c>
      <c r="AX38" s="232">
        <v>542</v>
      </c>
      <c r="AY38" s="355">
        <v>2192</v>
      </c>
      <c r="AZ38" s="232">
        <v>521</v>
      </c>
      <c r="BA38" s="232">
        <v>512</v>
      </c>
      <c r="BB38" s="232">
        <v>508</v>
      </c>
      <c r="BC38" s="325"/>
      <c r="BD38" s="325"/>
      <c r="BE38" s="325"/>
      <c r="BF38" s="325"/>
      <c r="BG38" s="325"/>
      <c r="BH38" s="325"/>
      <c r="BI38" s="325"/>
    </row>
    <row r="39" spans="1:61" ht="12.75">
      <c r="A39" s="31" t="s">
        <v>406</v>
      </c>
      <c r="B39" s="59"/>
      <c r="C39" s="59"/>
      <c r="D39" s="59"/>
      <c r="E39" s="59"/>
      <c r="F39" s="13"/>
      <c r="G39" s="59"/>
      <c r="H39" s="59"/>
      <c r="I39" s="59"/>
      <c r="J39" s="59"/>
      <c r="K39" s="13"/>
      <c r="L39" s="59"/>
      <c r="M39" s="59"/>
      <c r="N39" s="59"/>
      <c r="O39" s="59"/>
      <c r="P39" s="13"/>
      <c r="Q39" s="59"/>
      <c r="R39" s="59"/>
      <c r="S39" s="59"/>
      <c r="T39" s="59"/>
      <c r="U39" s="13"/>
      <c r="V39" s="59"/>
      <c r="W39" s="59"/>
      <c r="X39" s="59"/>
      <c r="Y39" s="59"/>
      <c r="Z39" s="13"/>
      <c r="AA39" s="59"/>
      <c r="AB39" s="59"/>
      <c r="AC39" s="59"/>
      <c r="AD39" s="59"/>
      <c r="AE39" s="13"/>
      <c r="AF39" s="59"/>
      <c r="AG39" s="59"/>
      <c r="AH39" s="59"/>
      <c r="AI39" s="59"/>
      <c r="AJ39" s="13"/>
      <c r="AK39" s="59"/>
      <c r="AL39" s="59"/>
      <c r="AM39" s="59"/>
      <c r="AN39" s="59"/>
      <c r="AO39" s="13"/>
      <c r="AP39" s="59"/>
      <c r="AQ39" s="59"/>
      <c r="AR39" s="59">
        <v>458</v>
      </c>
      <c r="AS39" s="59">
        <v>488</v>
      </c>
      <c r="AT39" s="13">
        <v>946</v>
      </c>
      <c r="AU39" s="232">
        <v>541</v>
      </c>
      <c r="AV39" s="232">
        <v>589</v>
      </c>
      <c r="AW39" s="232">
        <v>593</v>
      </c>
      <c r="AX39" s="232">
        <v>608</v>
      </c>
      <c r="AY39" s="355">
        <v>2331</v>
      </c>
      <c r="AZ39" s="232">
        <v>577</v>
      </c>
      <c r="BA39" s="232">
        <v>561</v>
      </c>
      <c r="BB39" s="232">
        <v>535</v>
      </c>
      <c r="BC39" s="325"/>
      <c r="BD39" s="325"/>
      <c r="BE39" s="325"/>
      <c r="BF39" s="325"/>
      <c r="BG39" s="325"/>
      <c r="BH39" s="325"/>
      <c r="BI39" s="325"/>
    </row>
    <row r="40" spans="1:61" ht="12.75">
      <c r="A40" s="31" t="s">
        <v>279</v>
      </c>
      <c r="B40" s="59">
        <v>0</v>
      </c>
      <c r="C40" s="59">
        <v>0</v>
      </c>
      <c r="D40" s="59">
        <v>0</v>
      </c>
      <c r="E40" s="59">
        <v>0</v>
      </c>
      <c r="F40" s="13">
        <v>0</v>
      </c>
      <c r="G40" s="59">
        <v>0</v>
      </c>
      <c r="H40" s="59">
        <v>0</v>
      </c>
      <c r="I40" s="59">
        <v>0</v>
      </c>
      <c r="J40" s="59">
        <v>0</v>
      </c>
      <c r="K40" s="13">
        <v>0</v>
      </c>
      <c r="L40" s="59">
        <v>0</v>
      </c>
      <c r="M40" s="59">
        <v>0</v>
      </c>
      <c r="N40" s="59">
        <v>0</v>
      </c>
      <c r="O40" s="59">
        <v>0</v>
      </c>
      <c r="P40" s="13">
        <v>0</v>
      </c>
      <c r="Q40" s="59">
        <v>0</v>
      </c>
      <c r="R40" s="59">
        <v>0</v>
      </c>
      <c r="S40" s="59">
        <v>0</v>
      </c>
      <c r="T40" s="59">
        <v>0</v>
      </c>
      <c r="U40" s="13">
        <v>0</v>
      </c>
      <c r="V40" s="59">
        <v>5</v>
      </c>
      <c r="W40" s="59">
        <v>7</v>
      </c>
      <c r="X40" s="59">
        <v>8</v>
      </c>
      <c r="Y40" s="59">
        <v>10</v>
      </c>
      <c r="Z40" s="13">
        <v>31</v>
      </c>
      <c r="AA40" s="59">
        <v>11</v>
      </c>
      <c r="AB40" s="59">
        <v>10</v>
      </c>
      <c r="AC40" s="59">
        <v>12</v>
      </c>
      <c r="AD40" s="59">
        <v>17</v>
      </c>
      <c r="AE40" s="13">
        <v>51</v>
      </c>
      <c r="AF40" s="59">
        <v>15</v>
      </c>
      <c r="AG40" s="59">
        <v>13</v>
      </c>
      <c r="AH40" s="59">
        <v>15</v>
      </c>
      <c r="AI40" s="59">
        <v>14</v>
      </c>
      <c r="AJ40" s="13">
        <v>58</v>
      </c>
      <c r="AK40" s="59">
        <v>13</v>
      </c>
      <c r="AL40" s="59">
        <v>13</v>
      </c>
      <c r="AM40" s="59">
        <v>13</v>
      </c>
      <c r="AN40" s="59">
        <v>14</v>
      </c>
      <c r="AO40" s="13">
        <v>53</v>
      </c>
      <c r="AP40" s="59">
        <v>13</v>
      </c>
      <c r="AQ40" s="59">
        <v>12</v>
      </c>
      <c r="AR40" s="59">
        <v>48</v>
      </c>
      <c r="AS40" s="59">
        <v>83</v>
      </c>
      <c r="AT40" s="13">
        <v>156</v>
      </c>
      <c r="AU40" s="232">
        <v>111</v>
      </c>
      <c r="AV40" s="232">
        <v>124</v>
      </c>
      <c r="AW40" s="232">
        <v>125</v>
      </c>
      <c r="AX40" s="232">
        <v>147</v>
      </c>
      <c r="AY40" s="355">
        <v>508</v>
      </c>
      <c r="AZ40" s="232">
        <v>243</v>
      </c>
      <c r="BA40" s="232">
        <f>217+65</f>
        <v>282</v>
      </c>
      <c r="BB40" s="232">
        <f>223+69</f>
        <v>292</v>
      </c>
      <c r="BC40" s="325"/>
      <c r="BD40" s="325"/>
      <c r="BE40" s="325"/>
      <c r="BF40" s="325"/>
      <c r="BG40" s="325"/>
      <c r="BH40" s="325"/>
      <c r="BI40" s="325"/>
    </row>
    <row r="41" spans="1:188" s="213" customFormat="1" ht="12.75">
      <c r="A41" s="31" t="s">
        <v>38</v>
      </c>
      <c r="B41" s="13">
        <v>72</v>
      </c>
      <c r="C41" s="13">
        <v>62</v>
      </c>
      <c r="D41" s="13">
        <v>57</v>
      </c>
      <c r="E41" s="13">
        <v>78</v>
      </c>
      <c r="F41" s="13">
        <v>269</v>
      </c>
      <c r="G41" s="13">
        <v>77</v>
      </c>
      <c r="H41" s="13">
        <v>59</v>
      </c>
      <c r="I41" s="13">
        <v>47</v>
      </c>
      <c r="J41" s="13">
        <v>62</v>
      </c>
      <c r="K41" s="13">
        <v>245</v>
      </c>
      <c r="L41" s="13">
        <v>69</v>
      </c>
      <c r="M41" s="13">
        <v>51</v>
      </c>
      <c r="N41" s="13">
        <v>45</v>
      </c>
      <c r="O41" s="13">
        <v>54</v>
      </c>
      <c r="P41" s="13">
        <v>219</v>
      </c>
      <c r="Q41" s="13">
        <v>62</v>
      </c>
      <c r="R41" s="13">
        <v>64</v>
      </c>
      <c r="S41" s="13">
        <v>50</v>
      </c>
      <c r="T41" s="13">
        <v>53</v>
      </c>
      <c r="U41" s="13">
        <v>229</v>
      </c>
      <c r="V41" s="13">
        <v>57</v>
      </c>
      <c r="W41" s="13">
        <v>50</v>
      </c>
      <c r="X41" s="13">
        <v>52</v>
      </c>
      <c r="Y41" s="13">
        <v>47</v>
      </c>
      <c r="Z41" s="13">
        <v>206</v>
      </c>
      <c r="AA41" s="13">
        <v>63</v>
      </c>
      <c r="AB41" s="13">
        <v>52</v>
      </c>
      <c r="AC41" s="13">
        <v>51</v>
      </c>
      <c r="AD41" s="13">
        <v>50</v>
      </c>
      <c r="AE41" s="13">
        <v>216</v>
      </c>
      <c r="AF41" s="13">
        <v>42</v>
      </c>
      <c r="AG41" s="13">
        <v>40</v>
      </c>
      <c r="AH41" s="13">
        <v>47</v>
      </c>
      <c r="AI41" s="13">
        <v>43</v>
      </c>
      <c r="AJ41" s="13">
        <v>172</v>
      </c>
      <c r="AK41" s="13">
        <v>39</v>
      </c>
      <c r="AL41" s="13">
        <v>42</v>
      </c>
      <c r="AM41" s="13">
        <v>46</v>
      </c>
      <c r="AN41" s="13">
        <v>48</v>
      </c>
      <c r="AO41" s="13">
        <v>174</v>
      </c>
      <c r="AP41" s="13">
        <v>43</v>
      </c>
      <c r="AQ41" s="13">
        <v>35</v>
      </c>
      <c r="AR41" s="13"/>
      <c r="AS41" s="13"/>
      <c r="AT41" s="13"/>
      <c r="AU41" s="231"/>
      <c r="AV41" s="231"/>
      <c r="AW41" s="231"/>
      <c r="AX41" s="231"/>
      <c r="AY41" s="355"/>
      <c r="BC41" s="325"/>
      <c r="BD41" s="325"/>
      <c r="BE41" s="325"/>
      <c r="BF41" s="325"/>
      <c r="BG41" s="325"/>
      <c r="BH41" s="325"/>
      <c r="BI41" s="325"/>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row>
    <row r="42" spans="1:188" s="213" customFormat="1" ht="12.75">
      <c r="A42" s="31" t="s">
        <v>39</v>
      </c>
      <c r="B42" s="13">
        <v>68</v>
      </c>
      <c r="C42" s="13">
        <v>58</v>
      </c>
      <c r="D42" s="13">
        <v>43</v>
      </c>
      <c r="E42" s="13">
        <v>70</v>
      </c>
      <c r="F42" s="13">
        <v>239</v>
      </c>
      <c r="G42" s="13">
        <v>68</v>
      </c>
      <c r="H42" s="13">
        <v>56</v>
      </c>
      <c r="I42" s="13">
        <v>46</v>
      </c>
      <c r="J42" s="13">
        <v>64</v>
      </c>
      <c r="K42" s="13">
        <v>234</v>
      </c>
      <c r="L42" s="13">
        <v>71</v>
      </c>
      <c r="M42" s="13">
        <v>55</v>
      </c>
      <c r="N42" s="13">
        <v>58</v>
      </c>
      <c r="O42" s="13">
        <v>72</v>
      </c>
      <c r="P42" s="13">
        <v>256</v>
      </c>
      <c r="Q42" s="13">
        <v>74</v>
      </c>
      <c r="R42" s="13">
        <v>65</v>
      </c>
      <c r="S42" s="13">
        <v>65</v>
      </c>
      <c r="T42" s="13">
        <v>68</v>
      </c>
      <c r="U42" s="13">
        <v>272</v>
      </c>
      <c r="V42" s="13">
        <v>70</v>
      </c>
      <c r="W42" s="13">
        <v>58</v>
      </c>
      <c r="X42" s="13">
        <v>63</v>
      </c>
      <c r="Y42" s="13">
        <v>66</v>
      </c>
      <c r="Z42" s="13">
        <v>257</v>
      </c>
      <c r="AA42" s="13">
        <v>77</v>
      </c>
      <c r="AB42" s="13">
        <v>57</v>
      </c>
      <c r="AC42" s="13">
        <v>49</v>
      </c>
      <c r="AD42" s="13">
        <v>61</v>
      </c>
      <c r="AE42" s="13">
        <v>243</v>
      </c>
      <c r="AF42" s="13">
        <v>56</v>
      </c>
      <c r="AG42" s="13">
        <v>48</v>
      </c>
      <c r="AH42" s="13">
        <v>45</v>
      </c>
      <c r="AI42" s="13">
        <v>49</v>
      </c>
      <c r="AJ42" s="13">
        <v>198</v>
      </c>
      <c r="AK42" s="13">
        <v>46</v>
      </c>
      <c r="AL42" s="13">
        <v>41</v>
      </c>
      <c r="AM42" s="13">
        <v>45</v>
      </c>
      <c r="AN42" s="13">
        <v>34</v>
      </c>
      <c r="AO42" s="13">
        <v>166</v>
      </c>
      <c r="AP42" s="13">
        <v>41</v>
      </c>
      <c r="AQ42" s="13">
        <v>39</v>
      </c>
      <c r="AR42" s="13"/>
      <c r="AS42" s="13"/>
      <c r="AT42" s="13"/>
      <c r="AU42" s="231"/>
      <c r="AV42" s="231"/>
      <c r="AW42" s="231"/>
      <c r="AX42" s="231"/>
      <c r="AY42" s="355"/>
      <c r="BC42" s="325"/>
      <c r="BD42" s="325"/>
      <c r="BE42" s="325"/>
      <c r="BF42" s="325"/>
      <c r="BG42" s="325"/>
      <c r="BH42" s="325"/>
      <c r="BI42" s="325"/>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row>
    <row r="43" spans="1:188" s="213" customFormat="1" ht="12.75">
      <c r="A43" s="31" t="s">
        <v>407</v>
      </c>
      <c r="B43" s="13">
        <f>B41+B42</f>
        <v>140</v>
      </c>
      <c r="C43" s="13">
        <f aca="true" t="shared" si="0" ref="C43:AQ43">C41+C42</f>
        <v>120</v>
      </c>
      <c r="D43" s="13">
        <f t="shared" si="0"/>
        <v>100</v>
      </c>
      <c r="E43" s="13">
        <f t="shared" si="0"/>
        <v>148</v>
      </c>
      <c r="F43" s="13">
        <f t="shared" si="0"/>
        <v>508</v>
      </c>
      <c r="G43" s="13">
        <f t="shared" si="0"/>
        <v>145</v>
      </c>
      <c r="H43" s="13">
        <f t="shared" si="0"/>
        <v>115</v>
      </c>
      <c r="I43" s="13">
        <f t="shared" si="0"/>
        <v>93</v>
      </c>
      <c r="J43" s="13">
        <f t="shared" si="0"/>
        <v>126</v>
      </c>
      <c r="K43" s="13">
        <f t="shared" si="0"/>
        <v>479</v>
      </c>
      <c r="L43" s="13">
        <f t="shared" si="0"/>
        <v>140</v>
      </c>
      <c r="M43" s="13">
        <f t="shared" si="0"/>
        <v>106</v>
      </c>
      <c r="N43" s="13">
        <f t="shared" si="0"/>
        <v>103</v>
      </c>
      <c r="O43" s="13">
        <f t="shared" si="0"/>
        <v>126</v>
      </c>
      <c r="P43" s="13">
        <f t="shared" si="0"/>
        <v>475</v>
      </c>
      <c r="Q43" s="13">
        <f t="shared" si="0"/>
        <v>136</v>
      </c>
      <c r="R43" s="13">
        <f t="shared" si="0"/>
        <v>129</v>
      </c>
      <c r="S43" s="13">
        <f t="shared" si="0"/>
        <v>115</v>
      </c>
      <c r="T43" s="13">
        <f t="shared" si="0"/>
        <v>121</v>
      </c>
      <c r="U43" s="13">
        <f t="shared" si="0"/>
        <v>501</v>
      </c>
      <c r="V43" s="13">
        <f t="shared" si="0"/>
        <v>127</v>
      </c>
      <c r="W43" s="13">
        <f t="shared" si="0"/>
        <v>108</v>
      </c>
      <c r="X43" s="13">
        <f t="shared" si="0"/>
        <v>115</v>
      </c>
      <c r="Y43" s="13">
        <f t="shared" si="0"/>
        <v>113</v>
      </c>
      <c r="Z43" s="13">
        <f t="shared" si="0"/>
        <v>463</v>
      </c>
      <c r="AA43" s="13">
        <f t="shared" si="0"/>
        <v>140</v>
      </c>
      <c r="AB43" s="13">
        <f t="shared" si="0"/>
        <v>109</v>
      </c>
      <c r="AC43" s="13">
        <f t="shared" si="0"/>
        <v>100</v>
      </c>
      <c r="AD43" s="13">
        <f t="shared" si="0"/>
        <v>111</v>
      </c>
      <c r="AE43" s="13">
        <f t="shared" si="0"/>
        <v>459</v>
      </c>
      <c r="AF43" s="13">
        <f t="shared" si="0"/>
        <v>98</v>
      </c>
      <c r="AG43" s="13">
        <f t="shared" si="0"/>
        <v>88</v>
      </c>
      <c r="AH43" s="13">
        <f t="shared" si="0"/>
        <v>92</v>
      </c>
      <c r="AI43" s="13">
        <f t="shared" si="0"/>
        <v>92</v>
      </c>
      <c r="AJ43" s="13">
        <f t="shared" si="0"/>
        <v>370</v>
      </c>
      <c r="AK43" s="13">
        <f t="shared" si="0"/>
        <v>85</v>
      </c>
      <c r="AL43" s="13">
        <f t="shared" si="0"/>
        <v>83</v>
      </c>
      <c r="AM43" s="13">
        <f t="shared" si="0"/>
        <v>91</v>
      </c>
      <c r="AN43" s="13">
        <f t="shared" si="0"/>
        <v>82</v>
      </c>
      <c r="AO43" s="13">
        <f t="shared" si="0"/>
        <v>340</v>
      </c>
      <c r="AP43" s="13">
        <f t="shared" si="0"/>
        <v>84</v>
      </c>
      <c r="AQ43" s="13">
        <f t="shared" si="0"/>
        <v>74</v>
      </c>
      <c r="AR43" s="13">
        <v>128</v>
      </c>
      <c r="AS43" s="13">
        <v>140</v>
      </c>
      <c r="AT43" s="13">
        <v>426</v>
      </c>
      <c r="AU43" s="231">
        <v>140</v>
      </c>
      <c r="AV43" s="231">
        <v>137</v>
      </c>
      <c r="AW43" s="231">
        <v>130</v>
      </c>
      <c r="AX43" s="231">
        <v>142</v>
      </c>
      <c r="AY43" s="355">
        <v>549</v>
      </c>
      <c r="AZ43" s="231">
        <v>167</v>
      </c>
      <c r="BA43" s="231">
        <v>178</v>
      </c>
      <c r="BB43" s="231">
        <v>171</v>
      </c>
      <c r="BC43" s="325"/>
      <c r="BD43" s="325"/>
      <c r="BE43" s="325"/>
      <c r="BF43" s="325"/>
      <c r="BG43" s="325"/>
      <c r="BH43" s="325"/>
      <c r="BI43" s="325"/>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row>
    <row r="44" spans="1:61" ht="12.75">
      <c r="A44" s="31" t="s">
        <v>37</v>
      </c>
      <c r="B44" s="59"/>
      <c r="C44" s="59"/>
      <c r="D44" s="59"/>
      <c r="E44" s="59"/>
      <c r="F44" s="13"/>
      <c r="G44" s="59"/>
      <c r="H44" s="59"/>
      <c r="I44" s="59"/>
      <c r="J44" s="59"/>
      <c r="K44" s="13"/>
      <c r="L44" s="59"/>
      <c r="M44" s="59"/>
      <c r="N44" s="59"/>
      <c r="O44" s="59"/>
      <c r="P44" s="13"/>
      <c r="Q44" s="59"/>
      <c r="R44" s="59"/>
      <c r="S44" s="59"/>
      <c r="T44" s="59"/>
      <c r="U44" s="13"/>
      <c r="V44" s="59"/>
      <c r="W44" s="59"/>
      <c r="X44" s="59"/>
      <c r="Y44" s="59"/>
      <c r="Z44" s="13"/>
      <c r="AA44" s="59"/>
      <c r="AB44" s="59"/>
      <c r="AC44" s="59"/>
      <c r="AD44" s="59"/>
      <c r="AE44" s="13"/>
      <c r="AF44" s="59"/>
      <c r="AG44" s="59"/>
      <c r="AH44" s="59"/>
      <c r="AI44" s="59"/>
      <c r="AJ44" s="13"/>
      <c r="AK44" s="59"/>
      <c r="AL44" s="59"/>
      <c r="AM44" s="59"/>
      <c r="AN44" s="59"/>
      <c r="AO44" s="13"/>
      <c r="AP44" s="59"/>
      <c r="AQ44" s="59"/>
      <c r="AR44" s="59">
        <v>68</v>
      </c>
      <c r="AS44" s="59">
        <v>75</v>
      </c>
      <c r="AT44" s="13">
        <v>297</v>
      </c>
      <c r="AU44" s="232">
        <v>70</v>
      </c>
      <c r="AV44" s="232">
        <v>68</v>
      </c>
      <c r="AW44" s="232">
        <v>66</v>
      </c>
      <c r="AX44" s="232">
        <v>64</v>
      </c>
      <c r="AY44" s="355">
        <v>268</v>
      </c>
      <c r="AZ44" s="232">
        <v>57</v>
      </c>
      <c r="BA44" s="232">
        <v>53</v>
      </c>
      <c r="BB44" s="232">
        <v>54</v>
      </c>
      <c r="BC44" s="325"/>
      <c r="BD44" s="325"/>
      <c r="BE44" s="325"/>
      <c r="BF44" s="325"/>
      <c r="BG44" s="325"/>
      <c r="BH44" s="325"/>
      <c r="BI44" s="325"/>
    </row>
    <row r="45" spans="1:61" ht="12.75">
      <c r="A45" s="31" t="s">
        <v>406</v>
      </c>
      <c r="B45" s="59"/>
      <c r="C45" s="59"/>
      <c r="D45" s="59"/>
      <c r="E45" s="59"/>
      <c r="F45" s="13"/>
      <c r="G45" s="59"/>
      <c r="H45" s="59"/>
      <c r="I45" s="59"/>
      <c r="J45" s="59"/>
      <c r="K45" s="13"/>
      <c r="L45" s="59"/>
      <c r="M45" s="59"/>
      <c r="N45" s="59"/>
      <c r="O45" s="59"/>
      <c r="P45" s="13"/>
      <c r="Q45" s="59"/>
      <c r="R45" s="59"/>
      <c r="S45" s="59"/>
      <c r="T45" s="59"/>
      <c r="U45" s="13"/>
      <c r="V45" s="59"/>
      <c r="W45" s="59"/>
      <c r="X45" s="59"/>
      <c r="Y45" s="59"/>
      <c r="Z45" s="13"/>
      <c r="AA45" s="59"/>
      <c r="AB45" s="59"/>
      <c r="AC45" s="59"/>
      <c r="AD45" s="59"/>
      <c r="AE45" s="13"/>
      <c r="AF45" s="59"/>
      <c r="AG45" s="59"/>
      <c r="AH45" s="59"/>
      <c r="AI45" s="59"/>
      <c r="AJ45" s="13"/>
      <c r="AK45" s="59"/>
      <c r="AL45" s="59"/>
      <c r="AM45" s="59"/>
      <c r="AN45" s="59"/>
      <c r="AO45" s="13"/>
      <c r="AP45" s="59"/>
      <c r="AQ45" s="59"/>
      <c r="AR45" s="59">
        <v>57</v>
      </c>
      <c r="AS45" s="59">
        <v>60</v>
      </c>
      <c r="AT45" s="13">
        <v>117</v>
      </c>
      <c r="AU45" s="232">
        <v>62</v>
      </c>
      <c r="AV45" s="232">
        <v>61</v>
      </c>
      <c r="AW45" s="232">
        <v>56</v>
      </c>
      <c r="AX45" s="232">
        <v>63</v>
      </c>
      <c r="AY45" s="355">
        <v>242</v>
      </c>
      <c r="AZ45" s="232">
        <v>61</v>
      </c>
      <c r="BA45" s="465">
        <v>59</v>
      </c>
      <c r="BB45" s="232">
        <v>50</v>
      </c>
      <c r="BC45" s="325"/>
      <c r="BD45" s="325"/>
      <c r="BE45" s="325"/>
      <c r="BF45" s="325"/>
      <c r="BG45" s="325"/>
      <c r="BH45" s="325"/>
      <c r="BI45" s="325"/>
    </row>
    <row r="46" spans="1:61" ht="12.75">
      <c r="A46" s="31" t="s">
        <v>279</v>
      </c>
      <c r="B46" s="59"/>
      <c r="C46" s="59"/>
      <c r="D46" s="59"/>
      <c r="E46" s="59"/>
      <c r="F46" s="13"/>
      <c r="G46" s="59"/>
      <c r="H46" s="59"/>
      <c r="I46" s="59"/>
      <c r="J46" s="59"/>
      <c r="K46" s="13"/>
      <c r="L46" s="59"/>
      <c r="M46" s="59"/>
      <c r="N46" s="59"/>
      <c r="O46" s="59"/>
      <c r="P46" s="13"/>
      <c r="Q46" s="59"/>
      <c r="R46" s="59"/>
      <c r="S46" s="59"/>
      <c r="T46" s="59"/>
      <c r="U46" s="13"/>
      <c r="V46" s="59"/>
      <c r="W46" s="59"/>
      <c r="X46" s="59"/>
      <c r="Y46" s="59"/>
      <c r="Z46" s="13"/>
      <c r="AA46" s="59"/>
      <c r="AB46" s="59"/>
      <c r="AC46" s="59"/>
      <c r="AD46" s="59"/>
      <c r="AE46" s="13"/>
      <c r="AF46" s="59"/>
      <c r="AG46" s="59"/>
      <c r="AH46" s="59"/>
      <c r="AI46" s="59"/>
      <c r="AJ46" s="13"/>
      <c r="AK46" s="59"/>
      <c r="AL46" s="59"/>
      <c r="AM46" s="59"/>
      <c r="AN46" s="59"/>
      <c r="AO46" s="13"/>
      <c r="AP46" s="59"/>
      <c r="AQ46" s="59"/>
      <c r="AR46" s="59">
        <v>3</v>
      </c>
      <c r="AS46" s="59">
        <v>5</v>
      </c>
      <c r="AT46" s="227">
        <v>12</v>
      </c>
      <c r="AU46" s="232">
        <v>8</v>
      </c>
      <c r="AV46" s="232">
        <v>8</v>
      </c>
      <c r="AW46" s="232">
        <v>8</v>
      </c>
      <c r="AX46" s="232">
        <v>15</v>
      </c>
      <c r="AY46" s="355">
        <v>39</v>
      </c>
      <c r="AZ46" s="232">
        <v>49</v>
      </c>
      <c r="BA46" s="232">
        <f>59+7</f>
        <v>66</v>
      </c>
      <c r="BB46" s="232">
        <f>59+8</f>
        <v>67</v>
      </c>
      <c r="BC46" s="325"/>
      <c r="BD46" s="325"/>
      <c r="BE46" s="325"/>
      <c r="BF46" s="325"/>
      <c r="BG46" s="325"/>
      <c r="BH46" s="325"/>
      <c r="BI46" s="325"/>
    </row>
    <row r="47" spans="1:188" s="213" customFormat="1" ht="12.75">
      <c r="A47" s="31" t="s">
        <v>40</v>
      </c>
      <c r="B47" s="212">
        <v>94592.17617677778</v>
      </c>
      <c r="C47" s="212">
        <v>82984.56838117601</v>
      </c>
      <c r="D47" s="212">
        <v>72122.5459045146</v>
      </c>
      <c r="E47" s="212">
        <v>101119.5451094745</v>
      </c>
      <c r="F47" s="13">
        <v>87688.50860620527</v>
      </c>
      <c r="G47" s="212">
        <v>94044.422643695</v>
      </c>
      <c r="H47" s="212">
        <v>75404.16403823278</v>
      </c>
      <c r="I47" s="212">
        <v>67131.9655002179</v>
      </c>
      <c r="J47" s="212">
        <v>83214.58345874278</v>
      </c>
      <c r="K47" s="13">
        <v>79883.99854694826</v>
      </c>
      <c r="L47" s="212">
        <v>94158.16737110389</v>
      </c>
      <c r="M47" s="212">
        <v>93001.7701447643</v>
      </c>
      <c r="N47" s="212">
        <v>81583.07825343616</v>
      </c>
      <c r="O47" s="212">
        <v>96601.15737188525</v>
      </c>
      <c r="P47" s="13">
        <v>91322.55129430247</v>
      </c>
      <c r="Q47" s="212">
        <v>101268.0999559459</v>
      </c>
      <c r="R47" s="212">
        <v>102544.09918117679</v>
      </c>
      <c r="S47" s="212">
        <v>98907.22695759733</v>
      </c>
      <c r="T47" s="212">
        <v>102933.65814951276</v>
      </c>
      <c r="U47" s="13">
        <v>101320.13315308125</v>
      </c>
      <c r="V47" s="212">
        <v>103874.59254840609</v>
      </c>
      <c r="W47" s="212">
        <v>96778.38040415378</v>
      </c>
      <c r="X47" s="212">
        <v>100515.42962684702</v>
      </c>
      <c r="Y47" s="212">
        <v>104325.98724679738</v>
      </c>
      <c r="Z47" s="13">
        <v>101055.39791510989</v>
      </c>
      <c r="AA47" s="212">
        <v>112845.26897110495</v>
      </c>
      <c r="AB47" s="212">
        <v>99148.23379462089</v>
      </c>
      <c r="AC47" s="212">
        <v>97503.08666422345</v>
      </c>
      <c r="AD47" s="212">
        <v>101905</v>
      </c>
      <c r="AE47" s="13">
        <v>102618</v>
      </c>
      <c r="AF47" s="212">
        <v>92982</v>
      </c>
      <c r="AG47" s="212">
        <v>87499</v>
      </c>
      <c r="AH47" s="212">
        <v>91197</v>
      </c>
      <c r="AI47" s="212">
        <v>90276</v>
      </c>
      <c r="AJ47" s="13">
        <v>90436</v>
      </c>
      <c r="AK47" s="212">
        <v>86449</v>
      </c>
      <c r="AL47" s="212">
        <v>84406</v>
      </c>
      <c r="AM47" s="212">
        <v>88083</v>
      </c>
      <c r="AN47" s="212">
        <v>86485</v>
      </c>
      <c r="AO47" s="13">
        <v>86301</v>
      </c>
      <c r="AP47" s="212">
        <v>83726</v>
      </c>
      <c r="AQ47" s="212">
        <v>75027</v>
      </c>
      <c r="AR47" s="212">
        <v>130000</v>
      </c>
      <c r="AS47" s="212">
        <v>142498</v>
      </c>
      <c r="AT47" s="13">
        <v>108035</v>
      </c>
      <c r="AU47" s="212">
        <v>142228</v>
      </c>
      <c r="AV47" s="233">
        <v>145018</v>
      </c>
      <c r="AW47" s="233">
        <v>142001</v>
      </c>
      <c r="AX47" s="233">
        <v>144822</v>
      </c>
      <c r="AY47" s="355">
        <v>143520</v>
      </c>
      <c r="AZ47" s="233">
        <v>151160</v>
      </c>
      <c r="BA47" s="233">
        <v>151165</v>
      </c>
      <c r="BB47" s="233">
        <v>147270</v>
      </c>
      <c r="BC47" s="325"/>
      <c r="BD47" s="325"/>
      <c r="BE47" s="325"/>
      <c r="BF47" s="325"/>
      <c r="BG47" s="325"/>
      <c r="BH47" s="325"/>
      <c r="BI47" s="325"/>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row>
    <row r="48" spans="1:61" ht="12.75">
      <c r="A48" s="26" t="s">
        <v>364</v>
      </c>
      <c r="B48" s="59"/>
      <c r="C48" s="59"/>
      <c r="D48" s="59"/>
      <c r="E48" s="59"/>
      <c r="F48" s="211"/>
      <c r="G48" s="59"/>
      <c r="H48" s="59"/>
      <c r="I48" s="59"/>
      <c r="J48" s="59"/>
      <c r="K48" s="211"/>
      <c r="L48" s="59"/>
      <c r="M48" s="59"/>
      <c r="N48" s="59"/>
      <c r="O48" s="59"/>
      <c r="P48" s="211"/>
      <c r="Q48" s="59"/>
      <c r="R48" s="59"/>
      <c r="S48" s="59"/>
      <c r="T48" s="59"/>
      <c r="U48" s="211"/>
      <c r="V48" s="59"/>
      <c r="W48" s="59"/>
      <c r="X48" s="59"/>
      <c r="Y48" s="59"/>
      <c r="Z48" s="211"/>
      <c r="AA48" s="59"/>
      <c r="AB48" s="59"/>
      <c r="AC48" s="59"/>
      <c r="AD48" s="59"/>
      <c r="AE48" s="211"/>
      <c r="AF48" s="59"/>
      <c r="AG48" s="59"/>
      <c r="AH48" s="59"/>
      <c r="AI48" s="59"/>
      <c r="AJ48" s="211"/>
      <c r="AK48" s="59"/>
      <c r="AL48" s="59"/>
      <c r="AM48" s="59"/>
      <c r="AN48" s="59"/>
      <c r="AO48" s="211"/>
      <c r="AP48" s="59"/>
      <c r="AQ48" s="59"/>
      <c r="AR48" s="59"/>
      <c r="AS48" s="59"/>
      <c r="AT48" s="211"/>
      <c r="AU48" s="59"/>
      <c r="AY48" s="370"/>
      <c r="BC48" s="478"/>
      <c r="BD48" s="478"/>
      <c r="BE48" s="478"/>
      <c r="BF48" s="478"/>
      <c r="BG48" s="478"/>
      <c r="BH48" s="478"/>
      <c r="BI48" s="478"/>
    </row>
    <row r="49" spans="1:61" ht="12.75">
      <c r="A49" s="26" t="s">
        <v>374</v>
      </c>
      <c r="B49" s="59"/>
      <c r="C49" s="59"/>
      <c r="D49" s="59"/>
      <c r="E49" s="59"/>
      <c r="F49" s="211"/>
      <c r="G49" s="59"/>
      <c r="H49" s="59"/>
      <c r="I49" s="59"/>
      <c r="J49" s="59"/>
      <c r="K49" s="211"/>
      <c r="L49" s="59"/>
      <c r="M49" s="59"/>
      <c r="N49" s="59"/>
      <c r="O49" s="59"/>
      <c r="P49" s="211"/>
      <c r="Q49" s="59"/>
      <c r="R49" s="59"/>
      <c r="S49" s="59"/>
      <c r="T49" s="59"/>
      <c r="U49" s="211"/>
      <c r="V49" s="59"/>
      <c r="W49" s="59"/>
      <c r="X49" s="59"/>
      <c r="Y49" s="59"/>
      <c r="Z49" s="211"/>
      <c r="AA49" s="59"/>
      <c r="AB49" s="59"/>
      <c r="AC49" s="59"/>
      <c r="AD49" s="59"/>
      <c r="AE49" s="211"/>
      <c r="AF49" s="59"/>
      <c r="AG49" s="59"/>
      <c r="AH49" s="59"/>
      <c r="AI49" s="59"/>
      <c r="AJ49" s="211"/>
      <c r="AK49" s="59"/>
      <c r="AL49" s="59"/>
      <c r="AM49" s="59"/>
      <c r="AN49" s="59"/>
      <c r="AO49" s="211"/>
      <c r="AP49" s="59"/>
      <c r="AQ49" s="59"/>
      <c r="AR49" s="59"/>
      <c r="AS49" s="59"/>
      <c r="AT49" s="211"/>
      <c r="AU49" s="59"/>
      <c r="AY49" s="370"/>
      <c r="BC49" s="478"/>
      <c r="BD49" s="478"/>
      <c r="BE49" s="478"/>
      <c r="BF49" s="478"/>
      <c r="BG49" s="478"/>
      <c r="BH49" s="478"/>
      <c r="BI49" s="478"/>
    </row>
    <row r="50" spans="1:61" ht="25.5">
      <c r="A50" s="26" t="s">
        <v>375</v>
      </c>
      <c r="B50" s="59"/>
      <c r="C50" s="59"/>
      <c r="D50" s="59"/>
      <c r="E50" s="59"/>
      <c r="F50" s="211"/>
      <c r="G50" s="59"/>
      <c r="H50" s="59"/>
      <c r="I50" s="59"/>
      <c r="J50" s="59"/>
      <c r="K50" s="211"/>
      <c r="L50" s="59"/>
      <c r="M50" s="59"/>
      <c r="N50" s="59"/>
      <c r="O50" s="59"/>
      <c r="P50" s="211"/>
      <c r="Q50" s="59"/>
      <c r="R50" s="59"/>
      <c r="S50" s="59"/>
      <c r="T50" s="59"/>
      <c r="U50" s="211"/>
      <c r="V50" s="59"/>
      <c r="W50" s="59"/>
      <c r="X50" s="59"/>
      <c r="Y50" s="59"/>
      <c r="Z50" s="211"/>
      <c r="AA50" s="59"/>
      <c r="AB50" s="59"/>
      <c r="AC50" s="59"/>
      <c r="AD50" s="59"/>
      <c r="AE50" s="211"/>
      <c r="AF50" s="59"/>
      <c r="AG50" s="59"/>
      <c r="AH50" s="59"/>
      <c r="AI50" s="59"/>
      <c r="AJ50" s="211"/>
      <c r="AK50" s="59"/>
      <c r="AL50" s="59"/>
      <c r="AM50" s="59"/>
      <c r="AN50" s="59"/>
      <c r="AO50" s="211"/>
      <c r="AP50" s="59"/>
      <c r="AQ50" s="59"/>
      <c r="AR50" s="59"/>
      <c r="AS50" s="59"/>
      <c r="AT50" s="211"/>
      <c r="AU50" s="59"/>
      <c r="AY50" s="370"/>
      <c r="BC50" s="478"/>
      <c r="BD50" s="478"/>
      <c r="BE50" s="478"/>
      <c r="BF50" s="478"/>
      <c r="BG50" s="478"/>
      <c r="BH50" s="478"/>
      <c r="BI50" s="478"/>
    </row>
    <row r="51" spans="1:61" ht="12.75">
      <c r="A51" s="26"/>
      <c r="B51" s="59"/>
      <c r="C51" s="59"/>
      <c r="D51" s="59"/>
      <c r="E51" s="59"/>
      <c r="F51" s="211"/>
      <c r="G51" s="59"/>
      <c r="H51" s="59"/>
      <c r="I51" s="59"/>
      <c r="J51" s="59"/>
      <c r="K51" s="211"/>
      <c r="L51" s="59"/>
      <c r="M51" s="59"/>
      <c r="N51" s="59"/>
      <c r="O51" s="59"/>
      <c r="P51" s="211"/>
      <c r="Q51" s="59"/>
      <c r="R51" s="59"/>
      <c r="S51" s="59"/>
      <c r="T51" s="59"/>
      <c r="U51" s="211"/>
      <c r="V51" s="59"/>
      <c r="W51" s="59"/>
      <c r="X51" s="59"/>
      <c r="Y51" s="59"/>
      <c r="Z51" s="211"/>
      <c r="AA51" s="59"/>
      <c r="AB51" s="59"/>
      <c r="AC51" s="59"/>
      <c r="AD51" s="59"/>
      <c r="AE51" s="211"/>
      <c r="AF51" s="59"/>
      <c r="AG51" s="59"/>
      <c r="AH51" s="59"/>
      <c r="AI51" s="59"/>
      <c r="AJ51" s="211"/>
      <c r="AK51" s="59"/>
      <c r="AL51" s="59"/>
      <c r="AM51" s="59"/>
      <c r="AN51" s="59"/>
      <c r="AO51" s="211"/>
      <c r="AP51" s="59"/>
      <c r="AQ51" s="59"/>
      <c r="AR51" s="59"/>
      <c r="AS51" s="59"/>
      <c r="AT51" s="211"/>
      <c r="AU51" s="59"/>
      <c r="AY51" s="370"/>
      <c r="BC51" s="478"/>
      <c r="BD51" s="478"/>
      <c r="BE51" s="478"/>
      <c r="BF51" s="478"/>
      <c r="BG51" s="478"/>
      <c r="BH51" s="478"/>
      <c r="BI51" s="478"/>
    </row>
    <row r="52" spans="55:61" ht="12.75">
      <c r="BC52" s="325"/>
      <c r="BD52" s="325"/>
      <c r="BE52" s="325"/>
      <c r="BF52" s="325"/>
      <c r="BG52" s="325"/>
      <c r="BH52" s="325"/>
      <c r="BI52" s="325"/>
    </row>
    <row r="53" spans="1:61" ht="12.75">
      <c r="A53" s="3"/>
      <c r="BC53" s="325"/>
      <c r="BD53" s="325"/>
      <c r="BE53" s="325"/>
      <c r="BF53" s="325"/>
      <c r="BG53" s="325"/>
      <c r="BH53" s="325"/>
      <c r="BI53" s="325"/>
    </row>
    <row r="54" ht="12.75">
      <c r="A54" s="260"/>
    </row>
    <row r="55" ht="12.75"/>
    <row r="56" ht="12.75"/>
    <row r="57" spans="1:61" s="26" customFormat="1" ht="25.5">
      <c r="A57" s="175" t="s">
        <v>366</v>
      </c>
      <c r="B57" s="7" t="s">
        <v>2</v>
      </c>
      <c r="C57" s="7" t="s">
        <v>3</v>
      </c>
      <c r="D57" s="7" t="s">
        <v>4</v>
      </c>
      <c r="E57" s="7" t="s">
        <v>5</v>
      </c>
      <c r="F57" s="7" t="s">
        <v>6</v>
      </c>
      <c r="G57" s="7" t="s">
        <v>12</v>
      </c>
      <c r="H57" s="7" t="s">
        <v>13</v>
      </c>
      <c r="I57" s="7" t="s">
        <v>14</v>
      </c>
      <c r="J57" s="7" t="s">
        <v>15</v>
      </c>
      <c r="K57" s="7" t="s">
        <v>16</v>
      </c>
      <c r="L57" s="7" t="s">
        <v>17</v>
      </c>
      <c r="M57" s="7" t="s">
        <v>18</v>
      </c>
      <c r="N57" s="7" t="s">
        <v>19</v>
      </c>
      <c r="O57" s="7" t="s">
        <v>20</v>
      </c>
      <c r="P57" s="7" t="s">
        <v>21</v>
      </c>
      <c r="Q57" s="7" t="s">
        <v>22</v>
      </c>
      <c r="R57" s="7" t="s">
        <v>23</v>
      </c>
      <c r="S57" s="7" t="s">
        <v>24</v>
      </c>
      <c r="T57" s="7" t="s">
        <v>25</v>
      </c>
      <c r="U57" s="7" t="s">
        <v>26</v>
      </c>
      <c r="V57" s="175" t="s">
        <v>27</v>
      </c>
      <c r="W57" s="175" t="s">
        <v>28</v>
      </c>
      <c r="X57" s="175" t="s">
        <v>29</v>
      </c>
      <c r="Y57" s="175" t="s">
        <v>30</v>
      </c>
      <c r="Z57" s="175" t="s">
        <v>31</v>
      </c>
      <c r="AA57" s="175" t="s">
        <v>32</v>
      </c>
      <c r="AB57" s="175" t="s">
        <v>33</v>
      </c>
      <c r="AC57" s="175" t="s">
        <v>34</v>
      </c>
      <c r="AD57" s="175" t="s">
        <v>271</v>
      </c>
      <c r="AE57" s="175" t="s">
        <v>272</v>
      </c>
      <c r="AF57" s="175" t="s">
        <v>274</v>
      </c>
      <c r="AG57" s="175" t="s">
        <v>276</v>
      </c>
      <c r="AH57" s="175" t="s">
        <v>278</v>
      </c>
      <c r="AI57" s="175" t="s">
        <v>280</v>
      </c>
      <c r="AJ57" s="175" t="s">
        <v>281</v>
      </c>
      <c r="AK57" s="175" t="s">
        <v>289</v>
      </c>
      <c r="AL57" s="175" t="s">
        <v>290</v>
      </c>
      <c r="AM57" s="175" t="s">
        <v>291</v>
      </c>
      <c r="AN57" s="175" t="s">
        <v>292</v>
      </c>
      <c r="AO57" s="175" t="s">
        <v>293</v>
      </c>
      <c r="AP57" s="175" t="s">
        <v>329</v>
      </c>
      <c r="AQ57" s="175" t="s">
        <v>330</v>
      </c>
      <c r="AR57" s="175" t="s">
        <v>331</v>
      </c>
      <c r="AS57" s="175" t="s">
        <v>332</v>
      </c>
      <c r="AT57" s="175" t="s">
        <v>333</v>
      </c>
      <c r="AU57" s="176" t="s">
        <v>448</v>
      </c>
      <c r="AV57" s="176" t="s">
        <v>451</v>
      </c>
      <c r="AW57" s="176" t="s">
        <v>453</v>
      </c>
      <c r="AX57" s="176" t="s">
        <v>454</v>
      </c>
      <c r="AY57" s="175" t="s">
        <v>457</v>
      </c>
      <c r="AZ57" s="325"/>
      <c r="BA57" s="325"/>
      <c r="BB57" s="325"/>
      <c r="BC57" s="325"/>
      <c r="BD57" s="325"/>
      <c r="BE57" s="325"/>
      <c r="BF57" s="325"/>
      <c r="BG57" s="325"/>
      <c r="BH57" s="325"/>
      <c r="BI57" s="325"/>
    </row>
    <row r="58" spans="1:61" ht="12.75">
      <c r="A58" s="220"/>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38"/>
      <c r="AK58" s="37"/>
      <c r="AL58" s="37"/>
      <c r="AM58" s="37"/>
      <c r="AN58" s="38"/>
      <c r="AO58" s="38"/>
      <c r="AP58" s="37"/>
      <c r="AQ58" s="37"/>
      <c r="AR58" s="37"/>
      <c r="AS58" s="38"/>
      <c r="AT58" s="38"/>
      <c r="AU58" s="37"/>
      <c r="AY58" s="38"/>
      <c r="AZ58" s="326"/>
      <c r="BA58" s="326"/>
      <c r="BB58" s="326"/>
      <c r="BC58" s="326"/>
      <c r="BD58" s="326"/>
      <c r="BE58" s="326"/>
      <c r="BF58" s="326"/>
      <c r="BG58" s="326"/>
      <c r="BH58" s="326"/>
      <c r="BI58" s="326"/>
    </row>
    <row r="59" spans="1:61" ht="12.75">
      <c r="A59" s="178" t="s">
        <v>36</v>
      </c>
      <c r="B59" s="62">
        <v>256.0386</v>
      </c>
      <c r="C59" s="62">
        <v>243.4269</v>
      </c>
      <c r="D59" s="62">
        <v>255.77870000000007</v>
      </c>
      <c r="E59" s="62">
        <v>255.50600000000003</v>
      </c>
      <c r="F59" s="43">
        <v>1010.7502000000001</v>
      </c>
      <c r="G59" s="62">
        <v>256</v>
      </c>
      <c r="H59" s="62">
        <v>249</v>
      </c>
      <c r="I59" s="62">
        <v>251</v>
      </c>
      <c r="J59" s="62">
        <v>249</v>
      </c>
      <c r="K59" s="43">
        <v>1005</v>
      </c>
      <c r="L59" s="62">
        <v>258.42740000000003</v>
      </c>
      <c r="M59" s="62">
        <v>519.2727999999997</v>
      </c>
      <c r="N59" s="62">
        <v>431</v>
      </c>
      <c r="O59" s="62">
        <v>495.4</v>
      </c>
      <c r="P59" s="43">
        <v>1704.1001999999999</v>
      </c>
      <c r="Q59" s="62">
        <v>500.7797</v>
      </c>
      <c r="R59" s="62">
        <v>524.3079</v>
      </c>
      <c r="S59" s="62">
        <v>570.5305999999999</v>
      </c>
      <c r="T59" s="62">
        <v>576.0541</v>
      </c>
      <c r="U59" s="43">
        <v>2171.6723</v>
      </c>
      <c r="V59" s="62">
        <v>558</v>
      </c>
      <c r="W59" s="62">
        <v>555</v>
      </c>
      <c r="X59" s="62">
        <v>562</v>
      </c>
      <c r="Y59" s="62">
        <v>578</v>
      </c>
      <c r="Z59" s="198">
        <v>2253</v>
      </c>
      <c r="AA59" s="62">
        <v>553</v>
      </c>
      <c r="AB59" s="62">
        <v>542</v>
      </c>
      <c r="AC59" s="62">
        <v>538</v>
      </c>
      <c r="AD59" s="62">
        <v>534</v>
      </c>
      <c r="AE59" s="198">
        <v>2167</v>
      </c>
      <c r="AF59" s="62">
        <v>523</v>
      </c>
      <c r="AG59" s="62">
        <f>SUM(AG60:AG61)</f>
        <v>538</v>
      </c>
      <c r="AH59" s="62">
        <f>SUM(AH60:AH61)</f>
        <v>541</v>
      </c>
      <c r="AI59" s="62">
        <v>521</v>
      </c>
      <c r="AJ59" s="198">
        <v>2122</v>
      </c>
      <c r="AK59" s="62">
        <v>489</v>
      </c>
      <c r="AL59" s="62">
        <v>481</v>
      </c>
      <c r="AM59" s="62">
        <v>480</v>
      </c>
      <c r="AN59" s="62">
        <v>472</v>
      </c>
      <c r="AO59" s="198">
        <v>1924</v>
      </c>
      <c r="AP59" s="62">
        <v>438</v>
      </c>
      <c r="AQ59" s="62">
        <v>431</v>
      </c>
      <c r="AR59" s="62">
        <v>427</v>
      </c>
      <c r="AS59" s="62">
        <v>430</v>
      </c>
      <c r="AT59" s="198">
        <v>1727</v>
      </c>
      <c r="AU59" s="62">
        <v>409</v>
      </c>
      <c r="AV59" s="23">
        <v>421</v>
      </c>
      <c r="AW59" s="23">
        <v>408</v>
      </c>
      <c r="AX59" s="23">
        <v>403</v>
      </c>
      <c r="AY59" s="198">
        <v>1641</v>
      </c>
      <c r="AZ59" s="79"/>
      <c r="BA59" s="79"/>
      <c r="BB59" s="79"/>
      <c r="BC59" s="79"/>
      <c r="BD59" s="79"/>
      <c r="BE59" s="79"/>
      <c r="BF59" s="79"/>
      <c r="BG59" s="79"/>
      <c r="BH59" s="79"/>
      <c r="BI59" s="79"/>
    </row>
    <row r="60" spans="1:61" ht="12.75">
      <c r="A60" s="178" t="s">
        <v>37</v>
      </c>
      <c r="B60" s="62">
        <v>256.0386</v>
      </c>
      <c r="C60" s="62">
        <v>243.4269</v>
      </c>
      <c r="D60" s="62">
        <v>255.77870000000007</v>
      </c>
      <c r="E60" s="62">
        <v>255.50600000000003</v>
      </c>
      <c r="F60" s="43">
        <v>1010.7502000000001</v>
      </c>
      <c r="G60" s="62">
        <v>256</v>
      </c>
      <c r="H60" s="62">
        <v>249</v>
      </c>
      <c r="I60" s="62">
        <v>251</v>
      </c>
      <c r="J60" s="62">
        <v>249</v>
      </c>
      <c r="K60" s="43">
        <v>1005</v>
      </c>
      <c r="L60" s="62">
        <v>258.42740000000003</v>
      </c>
      <c r="M60" s="62">
        <v>263.2727999999998</v>
      </c>
      <c r="N60" s="62">
        <v>276</v>
      </c>
      <c r="O60" s="62">
        <v>285.4</v>
      </c>
      <c r="P60" s="43">
        <v>1083.1001999999999</v>
      </c>
      <c r="Q60" s="62">
        <v>262.7797</v>
      </c>
      <c r="R60" s="62">
        <v>259.30789999999996</v>
      </c>
      <c r="S60" s="62">
        <v>256.53059999999994</v>
      </c>
      <c r="T60" s="62">
        <v>245.05409999999998</v>
      </c>
      <c r="U60" s="43">
        <v>1023.6723</v>
      </c>
      <c r="V60" s="62">
        <v>231</v>
      </c>
      <c r="W60" s="62">
        <v>218</v>
      </c>
      <c r="X60" s="62">
        <v>216</v>
      </c>
      <c r="Y60" s="62">
        <v>219</v>
      </c>
      <c r="Z60" s="198">
        <v>884</v>
      </c>
      <c r="AA60" s="62">
        <v>215</v>
      </c>
      <c r="AB60" s="62">
        <v>208</v>
      </c>
      <c r="AC60" s="62">
        <v>215</v>
      </c>
      <c r="AD60" s="62">
        <v>219</v>
      </c>
      <c r="AE60" s="198">
        <v>857</v>
      </c>
      <c r="AF60" s="62">
        <v>206</v>
      </c>
      <c r="AG60" s="62">
        <v>203</v>
      </c>
      <c r="AH60" s="62">
        <v>203</v>
      </c>
      <c r="AI60" s="62">
        <v>188</v>
      </c>
      <c r="AJ60" s="198">
        <v>799</v>
      </c>
      <c r="AK60" s="62">
        <v>181</v>
      </c>
      <c r="AL60" s="62">
        <v>195</v>
      </c>
      <c r="AM60" s="62">
        <v>183</v>
      </c>
      <c r="AN60" s="62">
        <v>183</v>
      </c>
      <c r="AO60" s="198">
        <v>743</v>
      </c>
      <c r="AP60" s="62">
        <v>176</v>
      </c>
      <c r="AQ60" s="62">
        <v>177</v>
      </c>
      <c r="AR60" s="62">
        <v>177</v>
      </c>
      <c r="AS60" s="62">
        <v>186</v>
      </c>
      <c r="AT60" s="198">
        <v>715</v>
      </c>
      <c r="AU60" s="62">
        <v>170</v>
      </c>
      <c r="AV60" s="23">
        <v>166</v>
      </c>
      <c r="AW60" s="23">
        <v>156</v>
      </c>
      <c r="AX60" s="23">
        <v>155</v>
      </c>
      <c r="AY60" s="198">
        <v>647</v>
      </c>
      <c r="AZ60" s="79"/>
      <c r="BA60" s="79"/>
      <c r="BB60" s="79"/>
      <c r="BC60" s="79"/>
      <c r="BD60" s="79"/>
      <c r="BE60" s="79"/>
      <c r="BF60" s="79"/>
      <c r="BG60" s="79"/>
      <c r="BH60" s="79"/>
      <c r="BI60" s="79"/>
    </row>
    <row r="61" spans="1:61" ht="12.75">
      <c r="A61" s="178" t="s">
        <v>279</v>
      </c>
      <c r="B61" s="62">
        <v>0</v>
      </c>
      <c r="C61" s="62">
        <v>0</v>
      </c>
      <c r="D61" s="62">
        <v>0</v>
      </c>
      <c r="E61" s="62">
        <v>0</v>
      </c>
      <c r="F61" s="43">
        <v>0</v>
      </c>
      <c r="G61" s="62">
        <v>0</v>
      </c>
      <c r="H61" s="62">
        <v>0</v>
      </c>
      <c r="I61" s="62">
        <v>0</v>
      </c>
      <c r="J61" s="62">
        <v>0</v>
      </c>
      <c r="K61" s="43">
        <v>0</v>
      </c>
      <c r="L61" s="62">
        <v>0</v>
      </c>
      <c r="M61" s="62">
        <v>256</v>
      </c>
      <c r="N61" s="62">
        <v>155</v>
      </c>
      <c r="O61" s="62">
        <v>210</v>
      </c>
      <c r="P61" s="43">
        <v>621</v>
      </c>
      <c r="Q61" s="62">
        <v>238</v>
      </c>
      <c r="R61" s="62">
        <v>265</v>
      </c>
      <c r="S61" s="62">
        <v>314</v>
      </c>
      <c r="T61" s="62">
        <v>331</v>
      </c>
      <c r="U61" s="43">
        <v>1148</v>
      </c>
      <c r="V61" s="62">
        <v>327</v>
      </c>
      <c r="W61" s="62">
        <v>337</v>
      </c>
      <c r="X61" s="62">
        <v>346</v>
      </c>
      <c r="Y61" s="62">
        <v>359</v>
      </c>
      <c r="Z61" s="198">
        <v>1369</v>
      </c>
      <c r="AA61" s="62">
        <v>338</v>
      </c>
      <c r="AB61" s="62">
        <v>334</v>
      </c>
      <c r="AC61" s="62">
        <v>323</v>
      </c>
      <c r="AD61" s="62">
        <v>315</v>
      </c>
      <c r="AE61" s="198">
        <v>1310</v>
      </c>
      <c r="AF61" s="62">
        <v>317</v>
      </c>
      <c r="AG61" s="62">
        <v>335</v>
      </c>
      <c r="AH61" s="62">
        <v>338</v>
      </c>
      <c r="AI61" s="62">
        <v>333</v>
      </c>
      <c r="AJ61" s="198">
        <v>1323</v>
      </c>
      <c r="AK61" s="62">
        <v>308</v>
      </c>
      <c r="AL61" s="62">
        <v>286</v>
      </c>
      <c r="AM61" s="62">
        <v>297</v>
      </c>
      <c r="AN61" s="62">
        <v>289</v>
      </c>
      <c r="AO61" s="198">
        <v>1181</v>
      </c>
      <c r="AP61" s="62">
        <v>262</v>
      </c>
      <c r="AQ61" s="62">
        <v>254</v>
      </c>
      <c r="AR61" s="62">
        <f>AR59-AR60</f>
        <v>250</v>
      </c>
      <c r="AS61" s="62">
        <v>244</v>
      </c>
      <c r="AT61" s="198">
        <f>1011</f>
        <v>1011</v>
      </c>
      <c r="AU61" s="62">
        <v>238</v>
      </c>
      <c r="AV61" s="23">
        <v>255</v>
      </c>
      <c r="AW61" s="23">
        <f>AW59-AW60</f>
        <v>252</v>
      </c>
      <c r="AX61" s="23">
        <v>248</v>
      </c>
      <c r="AY61" s="198">
        <v>994</v>
      </c>
      <c r="AZ61" s="79"/>
      <c r="BA61" s="79"/>
      <c r="BB61" s="79"/>
      <c r="BC61" s="79"/>
      <c r="BD61" s="79"/>
      <c r="BE61" s="79"/>
      <c r="BF61" s="79"/>
      <c r="BG61" s="79"/>
      <c r="BH61" s="79"/>
      <c r="BI61" s="79"/>
    </row>
    <row r="62" spans="1:61" ht="14.25">
      <c r="A62" s="178" t="s">
        <v>313</v>
      </c>
      <c r="B62" s="62">
        <v>867</v>
      </c>
      <c r="C62" s="62">
        <v>755</v>
      </c>
      <c r="D62" s="62">
        <v>621</v>
      </c>
      <c r="E62" s="62">
        <v>983</v>
      </c>
      <c r="F62" s="43">
        <v>3226</v>
      </c>
      <c r="G62" s="62">
        <v>882.56795</v>
      </c>
      <c r="H62" s="62">
        <v>695.52895</v>
      </c>
      <c r="I62" s="62">
        <v>618.28278</v>
      </c>
      <c r="J62" s="62">
        <v>813.412651</v>
      </c>
      <c r="K62" s="43">
        <v>3009.792331</v>
      </c>
      <c r="L62" s="62">
        <v>839</v>
      </c>
      <c r="M62" s="62">
        <v>639</v>
      </c>
      <c r="N62" s="62">
        <v>608</v>
      </c>
      <c r="O62" s="62">
        <v>735</v>
      </c>
      <c r="P62" s="43">
        <v>2821</v>
      </c>
      <c r="Q62" s="62">
        <v>767</v>
      </c>
      <c r="R62" s="62">
        <v>763</v>
      </c>
      <c r="S62" s="62">
        <v>667</v>
      </c>
      <c r="T62" s="62">
        <v>730</v>
      </c>
      <c r="U62" s="43">
        <v>2927</v>
      </c>
      <c r="V62" s="62">
        <v>732</v>
      </c>
      <c r="W62" s="62">
        <v>647</v>
      </c>
      <c r="X62" s="62">
        <v>724</v>
      </c>
      <c r="Y62" s="62">
        <v>770</v>
      </c>
      <c r="Z62" s="198">
        <v>2874</v>
      </c>
      <c r="AA62" s="62">
        <v>862</v>
      </c>
      <c r="AB62" s="62">
        <v>695</v>
      </c>
      <c r="AC62" s="62">
        <v>725</v>
      </c>
      <c r="AD62" s="62">
        <v>796</v>
      </c>
      <c r="AE62" s="198">
        <v>3079</v>
      </c>
      <c r="AF62" s="62">
        <v>656</v>
      </c>
      <c r="AG62" s="62">
        <f>SUM(AG63:AG64)</f>
        <v>585</v>
      </c>
      <c r="AH62" s="62">
        <f>SUM(AH63:AH64)</f>
        <v>642</v>
      </c>
      <c r="AI62" s="62">
        <v>662</v>
      </c>
      <c r="AJ62" s="198">
        <v>2546</v>
      </c>
      <c r="AK62" s="62">
        <v>617</v>
      </c>
      <c r="AL62" s="62">
        <v>596</v>
      </c>
      <c r="AM62" s="62">
        <v>657</v>
      </c>
      <c r="AN62" s="62">
        <v>664</v>
      </c>
      <c r="AO62" s="198">
        <v>2533</v>
      </c>
      <c r="AP62" s="62">
        <v>629</v>
      </c>
      <c r="AQ62" s="62">
        <v>514</v>
      </c>
      <c r="AR62" s="62">
        <v>579</v>
      </c>
      <c r="AS62" s="62">
        <v>626</v>
      </c>
      <c r="AT62" s="198">
        <v>2348</v>
      </c>
      <c r="AU62" s="62">
        <v>613</v>
      </c>
      <c r="AV62" s="23">
        <v>612</v>
      </c>
      <c r="AW62" s="23">
        <v>595</v>
      </c>
      <c r="AX62" s="23">
        <v>608</v>
      </c>
      <c r="AY62" s="198">
        <v>2428</v>
      </c>
      <c r="AZ62" s="79"/>
      <c r="BA62" s="79"/>
      <c r="BB62" s="79"/>
      <c r="BC62" s="79"/>
      <c r="BD62" s="79"/>
      <c r="BE62" s="79"/>
      <c r="BF62" s="79"/>
      <c r="BG62" s="79"/>
      <c r="BH62" s="79"/>
      <c r="BI62" s="79"/>
    </row>
    <row r="63" spans="1:61" ht="12.75">
      <c r="A63" s="178" t="s">
        <v>37</v>
      </c>
      <c r="B63" s="62">
        <v>867</v>
      </c>
      <c r="C63" s="62">
        <v>755</v>
      </c>
      <c r="D63" s="62">
        <v>621</v>
      </c>
      <c r="E63" s="62">
        <v>983</v>
      </c>
      <c r="F63" s="43">
        <v>3226</v>
      </c>
      <c r="G63" s="62">
        <v>882.56795</v>
      </c>
      <c r="H63" s="62">
        <v>695.52895</v>
      </c>
      <c r="I63" s="62">
        <v>618.28278</v>
      </c>
      <c r="J63" s="62">
        <v>813.412651</v>
      </c>
      <c r="K63" s="43">
        <v>3009.792331</v>
      </c>
      <c r="L63" s="62">
        <v>839</v>
      </c>
      <c r="M63" s="62">
        <v>639</v>
      </c>
      <c r="N63" s="62">
        <v>608</v>
      </c>
      <c r="O63" s="62">
        <v>735</v>
      </c>
      <c r="P63" s="43">
        <v>2821</v>
      </c>
      <c r="Q63" s="62">
        <v>767</v>
      </c>
      <c r="R63" s="62">
        <v>763</v>
      </c>
      <c r="S63" s="62">
        <v>667</v>
      </c>
      <c r="T63" s="62">
        <v>730</v>
      </c>
      <c r="U63" s="43">
        <v>2927</v>
      </c>
      <c r="V63" s="62">
        <v>727</v>
      </c>
      <c r="W63" s="62">
        <v>640</v>
      </c>
      <c r="X63" s="62">
        <v>716</v>
      </c>
      <c r="Y63" s="62">
        <v>760</v>
      </c>
      <c r="Z63" s="198">
        <v>2843</v>
      </c>
      <c r="AA63" s="62">
        <v>851</v>
      </c>
      <c r="AB63" s="62">
        <v>685</v>
      </c>
      <c r="AC63" s="62">
        <v>713</v>
      </c>
      <c r="AD63" s="62">
        <v>779</v>
      </c>
      <c r="AE63" s="198">
        <v>3028</v>
      </c>
      <c r="AF63" s="62">
        <v>641</v>
      </c>
      <c r="AG63" s="62">
        <v>572</v>
      </c>
      <c r="AH63" s="62">
        <v>627</v>
      </c>
      <c r="AI63" s="62">
        <v>648</v>
      </c>
      <c r="AJ63" s="198">
        <v>2488</v>
      </c>
      <c r="AK63" s="62">
        <v>604</v>
      </c>
      <c r="AL63" s="62">
        <v>583</v>
      </c>
      <c r="AM63" s="62">
        <v>644</v>
      </c>
      <c r="AN63" s="62">
        <v>650</v>
      </c>
      <c r="AO63" s="198">
        <v>2480</v>
      </c>
      <c r="AP63" s="62">
        <v>616</v>
      </c>
      <c r="AQ63" s="62">
        <v>502</v>
      </c>
      <c r="AR63" s="62">
        <v>568</v>
      </c>
      <c r="AS63" s="62">
        <v>594</v>
      </c>
      <c r="AT63" s="198">
        <v>2280</v>
      </c>
      <c r="AU63" s="62">
        <v>561</v>
      </c>
      <c r="AV63" s="23">
        <v>555</v>
      </c>
      <c r="AW63" s="23">
        <v>535</v>
      </c>
      <c r="AX63" s="23">
        <v>542</v>
      </c>
      <c r="AY63" s="198">
        <v>2192</v>
      </c>
      <c r="AZ63" s="79"/>
      <c r="BA63" s="79"/>
      <c r="BB63" s="79"/>
      <c r="BC63" s="79"/>
      <c r="BD63" s="79"/>
      <c r="BE63" s="79"/>
      <c r="BF63" s="79"/>
      <c r="BG63" s="79"/>
      <c r="BH63" s="79"/>
      <c r="BI63" s="79"/>
    </row>
    <row r="64" spans="1:61" ht="12.75">
      <c r="A64" s="178" t="s">
        <v>279</v>
      </c>
      <c r="B64" s="62">
        <v>0</v>
      </c>
      <c r="C64" s="62">
        <v>0</v>
      </c>
      <c r="D64" s="62">
        <v>0</v>
      </c>
      <c r="E64" s="62">
        <v>0</v>
      </c>
      <c r="F64" s="43">
        <v>0</v>
      </c>
      <c r="G64" s="62">
        <v>0</v>
      </c>
      <c r="H64" s="62">
        <v>0</v>
      </c>
      <c r="I64" s="62">
        <v>0</v>
      </c>
      <c r="J64" s="62">
        <v>0</v>
      </c>
      <c r="K64" s="43">
        <v>0</v>
      </c>
      <c r="L64" s="62">
        <v>0</v>
      </c>
      <c r="M64" s="62">
        <v>0</v>
      </c>
      <c r="N64" s="62">
        <v>0</v>
      </c>
      <c r="O64" s="62">
        <v>0</v>
      </c>
      <c r="P64" s="43">
        <v>0</v>
      </c>
      <c r="Q64" s="62">
        <v>0</v>
      </c>
      <c r="R64" s="62">
        <v>0</v>
      </c>
      <c r="S64" s="62">
        <v>0</v>
      </c>
      <c r="T64" s="62">
        <v>0</v>
      </c>
      <c r="U64" s="43">
        <v>0</v>
      </c>
      <c r="V64" s="62">
        <v>5</v>
      </c>
      <c r="W64" s="62">
        <v>7</v>
      </c>
      <c r="X64" s="62">
        <v>8</v>
      </c>
      <c r="Y64" s="62">
        <v>10</v>
      </c>
      <c r="Z64" s="198">
        <v>31</v>
      </c>
      <c r="AA64" s="62">
        <v>11</v>
      </c>
      <c r="AB64" s="62">
        <v>10</v>
      </c>
      <c r="AC64" s="62">
        <v>12</v>
      </c>
      <c r="AD64" s="62">
        <v>17</v>
      </c>
      <c r="AE64" s="198">
        <v>51</v>
      </c>
      <c r="AF64" s="62">
        <v>15</v>
      </c>
      <c r="AG64" s="62">
        <v>13</v>
      </c>
      <c r="AH64" s="62">
        <v>15</v>
      </c>
      <c r="AI64" s="62">
        <v>14</v>
      </c>
      <c r="AJ64" s="198">
        <v>58</v>
      </c>
      <c r="AK64" s="62">
        <v>13</v>
      </c>
      <c r="AL64" s="62">
        <v>13</v>
      </c>
      <c r="AM64" s="62">
        <v>13</v>
      </c>
      <c r="AN64" s="62">
        <v>14</v>
      </c>
      <c r="AO64" s="198">
        <v>53</v>
      </c>
      <c r="AP64" s="62">
        <v>13</v>
      </c>
      <c r="AQ64" s="62">
        <v>12</v>
      </c>
      <c r="AR64" s="62">
        <f aca="true" t="shared" si="1" ref="AR64:AW64">AR62-AR63</f>
        <v>11</v>
      </c>
      <c r="AS64" s="62">
        <f t="shared" si="1"/>
        <v>32</v>
      </c>
      <c r="AT64" s="198">
        <f t="shared" si="1"/>
        <v>68</v>
      </c>
      <c r="AU64" s="62">
        <f t="shared" si="1"/>
        <v>52</v>
      </c>
      <c r="AV64" s="234">
        <f t="shared" si="1"/>
        <v>57</v>
      </c>
      <c r="AW64" s="234">
        <f t="shared" si="1"/>
        <v>60</v>
      </c>
      <c r="AX64" s="234">
        <v>66</v>
      </c>
      <c r="AY64" s="198">
        <v>236</v>
      </c>
      <c r="AZ64" s="79"/>
      <c r="BA64" s="79"/>
      <c r="BB64" s="79"/>
      <c r="BC64" s="79"/>
      <c r="BD64" s="79"/>
      <c r="BE64" s="79"/>
      <c r="BF64" s="79"/>
      <c r="BG64" s="79"/>
      <c r="BH64" s="79"/>
      <c r="BI64" s="79"/>
    </row>
    <row r="65" spans="1:61" ht="12.75">
      <c r="A65" s="178" t="s">
        <v>38</v>
      </c>
      <c r="B65" s="62">
        <v>72</v>
      </c>
      <c r="C65" s="62">
        <v>62</v>
      </c>
      <c r="D65" s="62">
        <v>57</v>
      </c>
      <c r="E65" s="62">
        <v>78</v>
      </c>
      <c r="F65" s="43">
        <v>269</v>
      </c>
      <c r="G65" s="62">
        <v>77</v>
      </c>
      <c r="H65" s="62">
        <v>59</v>
      </c>
      <c r="I65" s="62">
        <v>47</v>
      </c>
      <c r="J65" s="62">
        <v>62</v>
      </c>
      <c r="K65" s="43">
        <v>245</v>
      </c>
      <c r="L65" s="62">
        <v>69</v>
      </c>
      <c r="M65" s="62">
        <v>51</v>
      </c>
      <c r="N65" s="62">
        <v>45</v>
      </c>
      <c r="O65" s="62">
        <v>54</v>
      </c>
      <c r="P65" s="43">
        <v>219</v>
      </c>
      <c r="Q65" s="62">
        <v>62</v>
      </c>
      <c r="R65" s="62">
        <v>64</v>
      </c>
      <c r="S65" s="62">
        <v>50</v>
      </c>
      <c r="T65" s="62">
        <v>53</v>
      </c>
      <c r="U65" s="43">
        <v>229</v>
      </c>
      <c r="V65" s="62">
        <v>57</v>
      </c>
      <c r="W65" s="62">
        <v>50</v>
      </c>
      <c r="X65" s="62">
        <v>52</v>
      </c>
      <c r="Y65" s="62">
        <v>47</v>
      </c>
      <c r="Z65" s="198">
        <v>206</v>
      </c>
      <c r="AA65" s="62">
        <v>63</v>
      </c>
      <c r="AB65" s="62">
        <v>52</v>
      </c>
      <c r="AC65" s="62">
        <v>51</v>
      </c>
      <c r="AD65" s="62">
        <v>50</v>
      </c>
      <c r="AE65" s="198">
        <v>216</v>
      </c>
      <c r="AF65" s="62">
        <v>42</v>
      </c>
      <c r="AG65" s="62">
        <v>40</v>
      </c>
      <c r="AH65" s="62">
        <v>47</v>
      </c>
      <c r="AI65" s="62">
        <v>43</v>
      </c>
      <c r="AJ65" s="198">
        <v>172</v>
      </c>
      <c r="AK65" s="62">
        <v>39</v>
      </c>
      <c r="AL65" s="62">
        <v>42</v>
      </c>
      <c r="AM65" s="62">
        <v>46</v>
      </c>
      <c r="AN65" s="62">
        <v>48</v>
      </c>
      <c r="AO65" s="198">
        <v>174</v>
      </c>
      <c r="AP65" s="62">
        <v>43</v>
      </c>
      <c r="AQ65" s="62">
        <v>35</v>
      </c>
      <c r="AR65" s="62"/>
      <c r="AS65" s="62"/>
      <c r="AT65" s="198"/>
      <c r="AU65" s="62"/>
      <c r="AY65" s="198"/>
      <c r="AZ65" s="79"/>
      <c r="BA65" s="79"/>
      <c r="BB65" s="79"/>
      <c r="BC65" s="79"/>
      <c r="BD65" s="79"/>
      <c r="BE65" s="79"/>
      <c r="BF65" s="79"/>
      <c r="BG65" s="79"/>
      <c r="BH65" s="79"/>
      <c r="BI65" s="79"/>
    </row>
    <row r="66" spans="1:61" ht="12.75">
      <c r="A66" s="178" t="s">
        <v>39</v>
      </c>
      <c r="B66" s="62">
        <v>68</v>
      </c>
      <c r="C66" s="62">
        <v>58</v>
      </c>
      <c r="D66" s="62">
        <v>43</v>
      </c>
      <c r="E66" s="62">
        <v>70</v>
      </c>
      <c r="F66" s="43">
        <v>239</v>
      </c>
      <c r="G66" s="62">
        <v>68</v>
      </c>
      <c r="H66" s="62">
        <v>56</v>
      </c>
      <c r="I66" s="62">
        <v>46</v>
      </c>
      <c r="J66" s="62">
        <v>64</v>
      </c>
      <c r="K66" s="43">
        <v>234</v>
      </c>
      <c r="L66" s="62">
        <v>71</v>
      </c>
      <c r="M66" s="62">
        <v>55</v>
      </c>
      <c r="N66" s="62">
        <v>58</v>
      </c>
      <c r="O66" s="62">
        <v>72</v>
      </c>
      <c r="P66" s="43">
        <v>256</v>
      </c>
      <c r="Q66" s="62">
        <v>74</v>
      </c>
      <c r="R66" s="62">
        <v>65</v>
      </c>
      <c r="S66" s="62">
        <v>65</v>
      </c>
      <c r="T66" s="62">
        <v>68</v>
      </c>
      <c r="U66" s="43">
        <v>272</v>
      </c>
      <c r="V66" s="62">
        <v>70</v>
      </c>
      <c r="W66" s="62">
        <v>58</v>
      </c>
      <c r="X66" s="62">
        <v>63</v>
      </c>
      <c r="Y66" s="62">
        <v>66</v>
      </c>
      <c r="Z66" s="198">
        <v>257</v>
      </c>
      <c r="AA66" s="62">
        <v>77</v>
      </c>
      <c r="AB66" s="62">
        <v>57</v>
      </c>
      <c r="AC66" s="62">
        <v>49</v>
      </c>
      <c r="AD66" s="62">
        <v>61</v>
      </c>
      <c r="AE66" s="198">
        <v>243</v>
      </c>
      <c r="AF66" s="62">
        <v>56</v>
      </c>
      <c r="AG66" s="62">
        <v>48</v>
      </c>
      <c r="AH66" s="62">
        <v>45</v>
      </c>
      <c r="AI66" s="62">
        <v>49</v>
      </c>
      <c r="AJ66" s="198">
        <v>198</v>
      </c>
      <c r="AK66" s="62">
        <v>46</v>
      </c>
      <c r="AL66" s="62">
        <v>41</v>
      </c>
      <c r="AM66" s="62">
        <v>45</v>
      </c>
      <c r="AN66" s="62">
        <v>34</v>
      </c>
      <c r="AO66" s="198">
        <v>166</v>
      </c>
      <c r="AP66" s="62">
        <v>41</v>
      </c>
      <c r="AQ66" s="62">
        <v>39</v>
      </c>
      <c r="AR66" s="62"/>
      <c r="AS66" s="62"/>
      <c r="AT66" s="198"/>
      <c r="AU66" s="62"/>
      <c r="AY66" s="198"/>
      <c r="AZ66" s="79"/>
      <c r="BA66" s="79"/>
      <c r="BB66" s="79"/>
      <c r="BC66" s="79"/>
      <c r="BD66" s="79"/>
      <c r="BE66" s="79"/>
      <c r="BF66" s="79"/>
      <c r="BG66" s="79"/>
      <c r="BH66" s="79"/>
      <c r="BI66" s="79"/>
    </row>
    <row r="67" spans="1:61" ht="12.75">
      <c r="A67" s="178" t="s">
        <v>407</v>
      </c>
      <c r="B67" s="62">
        <f aca="true" t="shared" si="2" ref="B67:J67">B65+B66</f>
        <v>140</v>
      </c>
      <c r="C67" s="62">
        <f t="shared" si="2"/>
        <v>120</v>
      </c>
      <c r="D67" s="62">
        <f t="shared" si="2"/>
        <v>100</v>
      </c>
      <c r="E67" s="62">
        <f t="shared" si="2"/>
        <v>148</v>
      </c>
      <c r="F67" s="43">
        <f t="shared" si="2"/>
        <v>508</v>
      </c>
      <c r="G67" s="62">
        <f t="shared" si="2"/>
        <v>145</v>
      </c>
      <c r="H67" s="62">
        <f t="shared" si="2"/>
        <v>115</v>
      </c>
      <c r="I67" s="62">
        <f t="shared" si="2"/>
        <v>93</v>
      </c>
      <c r="J67" s="62">
        <f t="shared" si="2"/>
        <v>126</v>
      </c>
      <c r="K67" s="43">
        <f>SUM(K65:K66)</f>
        <v>479</v>
      </c>
      <c r="L67" s="62">
        <f>L65+L66</f>
        <v>140</v>
      </c>
      <c r="M67" s="62">
        <f>M65+M66</f>
        <v>106</v>
      </c>
      <c r="N67" s="62">
        <f>N65+N66</f>
        <v>103</v>
      </c>
      <c r="O67" s="62">
        <f>O65+O66</f>
        <v>126</v>
      </c>
      <c r="P67" s="43">
        <f>SUM(P65:P66)</f>
        <v>475</v>
      </c>
      <c r="Q67" s="62">
        <f>Q65+Q66</f>
        <v>136</v>
      </c>
      <c r="R67" s="62">
        <f>R65+R66</f>
        <v>129</v>
      </c>
      <c r="S67" s="62">
        <f>S65+S66</f>
        <v>115</v>
      </c>
      <c r="T67" s="62">
        <f>T65+T66</f>
        <v>121</v>
      </c>
      <c r="U67" s="43">
        <f>SUM(U65:U66)</f>
        <v>501</v>
      </c>
      <c r="V67" s="62">
        <f>V65+V66</f>
        <v>127</v>
      </c>
      <c r="W67" s="62">
        <f>W65+W66</f>
        <v>108</v>
      </c>
      <c r="X67" s="62">
        <f>X65+X66</f>
        <v>115</v>
      </c>
      <c r="Y67" s="62">
        <f>Y65+Y66</f>
        <v>113</v>
      </c>
      <c r="Z67" s="198">
        <f>SUM(Z65:Z66)</f>
        <v>463</v>
      </c>
      <c r="AA67" s="62">
        <f>AA65+AA66</f>
        <v>140</v>
      </c>
      <c r="AB67" s="62">
        <f>AB65+AB66</f>
        <v>109</v>
      </c>
      <c r="AC67" s="62">
        <f>AC65+AC66</f>
        <v>100</v>
      </c>
      <c r="AD67" s="62">
        <f>AD65+AD66</f>
        <v>111</v>
      </c>
      <c r="AE67" s="198">
        <f>SUM(AE65:AE66)</f>
        <v>459</v>
      </c>
      <c r="AF67" s="62">
        <f>AF65+AF66</f>
        <v>98</v>
      </c>
      <c r="AG67" s="62">
        <f>AG65+AG66</f>
        <v>88</v>
      </c>
      <c r="AH67" s="62">
        <f>AH65+AH66</f>
        <v>92</v>
      </c>
      <c r="AI67" s="62">
        <f>AI65+AI66</f>
        <v>92</v>
      </c>
      <c r="AJ67" s="198">
        <f>SUM(AJ65:AJ66)</f>
        <v>370</v>
      </c>
      <c r="AK67" s="62">
        <f>AK65+AK66</f>
        <v>85</v>
      </c>
      <c r="AL67" s="62">
        <f>AL65+AL66</f>
        <v>83</v>
      </c>
      <c r="AM67" s="62">
        <f>AM65+AM66</f>
        <v>91</v>
      </c>
      <c r="AN67" s="62">
        <f>AN65+AN66</f>
        <v>82</v>
      </c>
      <c r="AO67" s="198">
        <f>SUM(AO65:AO66)</f>
        <v>340</v>
      </c>
      <c r="AP67" s="62">
        <f>AP65+AP66</f>
        <v>84</v>
      </c>
      <c r="AQ67" s="62">
        <f>AQ65+AQ66</f>
        <v>74</v>
      </c>
      <c r="AR67" s="62">
        <v>70</v>
      </c>
      <c r="AS67" s="62">
        <v>78</v>
      </c>
      <c r="AT67" s="198">
        <v>305</v>
      </c>
      <c r="AU67" s="62">
        <v>74</v>
      </c>
      <c r="AV67" s="23">
        <v>73</v>
      </c>
      <c r="AW67" s="23">
        <v>72</v>
      </c>
      <c r="AX67" s="23">
        <v>71</v>
      </c>
      <c r="AY67" s="198">
        <v>290</v>
      </c>
      <c r="AZ67" s="79"/>
      <c r="BA67" s="79"/>
      <c r="BB67" s="79"/>
      <c r="BC67" s="79"/>
      <c r="BD67" s="79"/>
      <c r="BE67" s="79"/>
      <c r="BF67" s="79"/>
      <c r="BG67" s="79"/>
      <c r="BH67" s="79"/>
      <c r="BI67" s="79"/>
    </row>
    <row r="68" spans="1:61" ht="12.75">
      <c r="A68" s="178" t="s">
        <v>40</v>
      </c>
      <c r="B68" s="62">
        <v>94592.17617677778</v>
      </c>
      <c r="C68" s="62">
        <v>82984.56838117601</v>
      </c>
      <c r="D68" s="62">
        <v>72122.5459045146</v>
      </c>
      <c r="E68" s="62">
        <v>101119.5451094745</v>
      </c>
      <c r="F68" s="43">
        <v>87688.50860620527</v>
      </c>
      <c r="G68" s="62">
        <v>94044.422643695</v>
      </c>
      <c r="H68" s="62">
        <v>75404.16403823278</v>
      </c>
      <c r="I68" s="62">
        <v>67131.9655002179</v>
      </c>
      <c r="J68" s="62">
        <v>83214.58345874278</v>
      </c>
      <c r="K68" s="43">
        <v>79883.99854694826</v>
      </c>
      <c r="L68" s="62">
        <v>94158.16737110389</v>
      </c>
      <c r="M68" s="62">
        <v>93001.7701447643</v>
      </c>
      <c r="N68" s="62">
        <v>81583.07825343616</v>
      </c>
      <c r="O68" s="62">
        <v>96601.15737188525</v>
      </c>
      <c r="P68" s="43">
        <v>91322.55129430247</v>
      </c>
      <c r="Q68" s="62">
        <v>101268.0999559459</v>
      </c>
      <c r="R68" s="62">
        <v>102544.09918117679</v>
      </c>
      <c r="S68" s="62">
        <v>98907.22695759733</v>
      </c>
      <c r="T68" s="62">
        <v>102933.65814951276</v>
      </c>
      <c r="U68" s="43">
        <v>101320.13315308125</v>
      </c>
      <c r="V68" s="62">
        <v>103874.59254840609</v>
      </c>
      <c r="W68" s="62">
        <v>96778.38040415378</v>
      </c>
      <c r="X68" s="62">
        <v>100515.42962684702</v>
      </c>
      <c r="Y68" s="62">
        <v>104325.98724679738</v>
      </c>
      <c r="Z68" s="198">
        <v>101055.39791510989</v>
      </c>
      <c r="AA68" s="62">
        <v>112845.26897110495</v>
      </c>
      <c r="AB68" s="62">
        <v>99148.23379462089</v>
      </c>
      <c r="AC68" s="62">
        <v>97503.08666422345</v>
      </c>
      <c r="AD68" s="62">
        <v>101905</v>
      </c>
      <c r="AE68" s="198">
        <v>102618</v>
      </c>
      <c r="AF68" s="62">
        <v>92982</v>
      </c>
      <c r="AG68" s="62">
        <v>87499</v>
      </c>
      <c r="AH68" s="62">
        <v>91197</v>
      </c>
      <c r="AI68" s="62">
        <v>90276</v>
      </c>
      <c r="AJ68" s="198">
        <v>90436</v>
      </c>
      <c r="AK68" s="62">
        <v>86449</v>
      </c>
      <c r="AL68" s="62">
        <v>84406</v>
      </c>
      <c r="AM68" s="62">
        <v>88083</v>
      </c>
      <c r="AN68" s="62">
        <v>86485</v>
      </c>
      <c r="AO68" s="198">
        <v>86301</v>
      </c>
      <c r="AP68" s="62">
        <v>83726</v>
      </c>
      <c r="AQ68" s="62">
        <v>75027</v>
      </c>
      <c r="AR68" s="62">
        <v>76871</v>
      </c>
      <c r="AS68" s="62">
        <v>80139</v>
      </c>
      <c r="AT68" s="198">
        <v>78925</v>
      </c>
      <c r="AU68" s="62">
        <v>79128</v>
      </c>
      <c r="AV68" s="23">
        <v>79311</v>
      </c>
      <c r="AW68" s="23">
        <v>76888</v>
      </c>
      <c r="AX68" s="23">
        <v>76873</v>
      </c>
      <c r="AY68" s="198">
        <v>78041</v>
      </c>
      <c r="AZ68" s="79"/>
      <c r="BA68" s="79"/>
      <c r="BB68" s="79"/>
      <c r="BC68" s="79"/>
      <c r="BD68" s="79"/>
      <c r="BE68" s="79"/>
      <c r="BF68" s="79"/>
      <c r="BG68" s="79"/>
      <c r="BH68" s="79"/>
      <c r="BI68" s="79"/>
    </row>
    <row r="69" spans="1:61" ht="12.75">
      <c r="A69" s="219" t="s">
        <v>231</v>
      </c>
      <c r="AZ69" s="56"/>
      <c r="BA69" s="56"/>
      <c r="BB69" s="56"/>
      <c r="BC69" s="56"/>
      <c r="BD69" s="56"/>
      <c r="BE69" s="56"/>
      <c r="BF69" s="56"/>
      <c r="BG69" s="56"/>
      <c r="BH69" s="56"/>
      <c r="BI69" s="56"/>
    </row>
    <row r="70" spans="1:61" ht="25.5">
      <c r="A70" s="219" t="s">
        <v>41</v>
      </c>
      <c r="AZ70" s="56"/>
      <c r="BA70" s="56"/>
      <c r="BB70" s="56"/>
      <c r="BC70" s="56"/>
      <c r="BD70" s="56"/>
      <c r="BE70" s="56"/>
      <c r="BF70" s="56"/>
      <c r="BG70" s="56"/>
      <c r="BH70" s="56"/>
      <c r="BI70" s="56"/>
    </row>
    <row r="71" spans="52:61" ht="12.75">
      <c r="AZ71" s="56"/>
      <c r="BA71" s="56"/>
      <c r="BB71" s="56"/>
      <c r="BC71" s="56"/>
      <c r="BD71" s="56"/>
      <c r="BE71" s="56"/>
      <c r="BF71" s="56"/>
      <c r="BG71" s="56"/>
      <c r="BH71" s="56"/>
      <c r="BI71" s="56"/>
    </row>
    <row r="72" spans="1:61" ht="12.75" customHeight="1">
      <c r="A72" s="175" t="s">
        <v>43</v>
      </c>
      <c r="B72" s="7" t="s">
        <v>2</v>
      </c>
      <c r="C72" s="7" t="s">
        <v>3</v>
      </c>
      <c r="D72" s="7" t="s">
        <v>4</v>
      </c>
      <c r="E72" s="7" t="s">
        <v>5</v>
      </c>
      <c r="F72" s="7" t="s">
        <v>6</v>
      </c>
      <c r="G72" s="7" t="s">
        <v>12</v>
      </c>
      <c r="H72" s="7" t="s">
        <v>13</v>
      </c>
      <c r="I72" s="7" t="s">
        <v>14</v>
      </c>
      <c r="J72" s="7" t="s">
        <v>15</v>
      </c>
      <c r="K72" s="7" t="s">
        <v>16</v>
      </c>
      <c r="L72" s="7" t="s">
        <v>17</v>
      </c>
      <c r="M72" s="7" t="s">
        <v>18</v>
      </c>
      <c r="N72" s="7" t="s">
        <v>19</v>
      </c>
      <c r="O72" s="7" t="s">
        <v>20</v>
      </c>
      <c r="P72" s="7" t="s">
        <v>21</v>
      </c>
      <c r="Q72" s="7" t="s">
        <v>22</v>
      </c>
      <c r="R72" s="7" t="s">
        <v>23</v>
      </c>
      <c r="S72" s="7" t="s">
        <v>24</v>
      </c>
      <c r="T72" s="7" t="s">
        <v>25</v>
      </c>
      <c r="U72" s="7" t="s">
        <v>26</v>
      </c>
      <c r="V72" s="175" t="s">
        <v>27</v>
      </c>
      <c r="W72" s="175" t="s">
        <v>28</v>
      </c>
      <c r="X72" s="175" t="s">
        <v>29</v>
      </c>
      <c r="Y72" s="175" t="s">
        <v>30</v>
      </c>
      <c r="Z72" s="175" t="s">
        <v>31</v>
      </c>
      <c r="AA72" s="175" t="s">
        <v>32</v>
      </c>
      <c r="AB72" s="175" t="s">
        <v>33</v>
      </c>
      <c r="AC72" s="175" t="s">
        <v>34</v>
      </c>
      <c r="AD72" s="175" t="s">
        <v>271</v>
      </c>
      <c r="AE72" s="175" t="s">
        <v>272</v>
      </c>
      <c r="AF72" s="175" t="s">
        <v>274</v>
      </c>
      <c r="AG72" s="175" t="s">
        <v>276</v>
      </c>
      <c r="AH72" s="175" t="s">
        <v>278</v>
      </c>
      <c r="AI72" s="175" t="s">
        <v>280</v>
      </c>
      <c r="AJ72" s="175" t="s">
        <v>281</v>
      </c>
      <c r="AK72" s="175" t="s">
        <v>289</v>
      </c>
      <c r="AL72" s="175" t="s">
        <v>290</v>
      </c>
      <c r="AM72" s="175" t="s">
        <v>291</v>
      </c>
      <c r="AN72" s="175" t="s">
        <v>292</v>
      </c>
      <c r="AO72" s="175" t="s">
        <v>293</v>
      </c>
      <c r="AP72" s="175" t="s">
        <v>329</v>
      </c>
      <c r="AQ72" s="175" t="s">
        <v>330</v>
      </c>
      <c r="AR72" s="175" t="s">
        <v>331</v>
      </c>
      <c r="AS72" s="175" t="s">
        <v>332</v>
      </c>
      <c r="AT72" s="175" t="s">
        <v>333</v>
      </c>
      <c r="AU72" s="176" t="s">
        <v>448</v>
      </c>
      <c r="AV72" s="176" t="s">
        <v>451</v>
      </c>
      <c r="AW72" s="176" t="s">
        <v>453</v>
      </c>
      <c r="AX72" s="176" t="s">
        <v>454</v>
      </c>
      <c r="AY72" s="175" t="s">
        <v>457</v>
      </c>
      <c r="AZ72" s="325"/>
      <c r="BA72" s="325"/>
      <c r="BB72" s="325"/>
      <c r="BC72" s="325"/>
      <c r="BD72" s="325"/>
      <c r="BE72" s="325"/>
      <c r="BF72" s="325"/>
      <c r="BG72" s="325"/>
      <c r="BH72" s="325"/>
      <c r="BI72" s="325"/>
    </row>
    <row r="73" spans="1:61" ht="12.75" customHeight="1">
      <c r="A73" s="220"/>
      <c r="B73" s="37"/>
      <c r="C73" s="37"/>
      <c r="D73" s="37"/>
      <c r="E73" s="38"/>
      <c r="F73" s="38"/>
      <c r="G73" s="37"/>
      <c r="H73" s="37"/>
      <c r="I73" s="37"/>
      <c r="J73" s="38"/>
      <c r="K73" s="38"/>
      <c r="L73" s="37"/>
      <c r="M73" s="37"/>
      <c r="N73" s="37"/>
      <c r="O73" s="38"/>
      <c r="P73" s="38"/>
      <c r="Q73" s="37"/>
      <c r="R73" s="37"/>
      <c r="S73" s="37"/>
      <c r="T73" s="38"/>
      <c r="U73" s="38"/>
      <c r="V73" s="37"/>
      <c r="W73" s="37"/>
      <c r="X73" s="37"/>
      <c r="Y73" s="38"/>
      <c r="Z73" s="38"/>
      <c r="AA73" s="37"/>
      <c r="AB73" s="37"/>
      <c r="AC73" s="37"/>
      <c r="AD73" s="38"/>
      <c r="AE73" s="38"/>
      <c r="AF73" s="37"/>
      <c r="AG73" s="37"/>
      <c r="AH73" s="37"/>
      <c r="AI73" s="38"/>
      <c r="AJ73" s="38"/>
      <c r="AK73" s="37"/>
      <c r="AL73" s="37"/>
      <c r="AM73" s="37"/>
      <c r="AN73" s="38"/>
      <c r="AO73" s="38"/>
      <c r="AP73" s="37"/>
      <c r="AQ73" s="37"/>
      <c r="AR73" s="37"/>
      <c r="AS73" s="38"/>
      <c r="AT73" s="38"/>
      <c r="AU73" s="37"/>
      <c r="AY73" s="38"/>
      <c r="AZ73" s="326"/>
      <c r="BA73" s="326"/>
      <c r="BB73" s="326"/>
      <c r="BC73" s="326"/>
      <c r="BD73" s="326"/>
      <c r="BE73" s="326"/>
      <c r="BF73" s="326"/>
      <c r="BG73" s="326"/>
      <c r="BH73" s="326"/>
      <c r="BI73" s="326"/>
    </row>
    <row r="74" spans="1:61" ht="12.75">
      <c r="A74" s="178" t="s">
        <v>42</v>
      </c>
      <c r="B74" s="62">
        <v>23.568475112359213</v>
      </c>
      <c r="C74" s="62">
        <v>24.920683137513535</v>
      </c>
      <c r="D74" s="62">
        <v>23.13591081778986</v>
      </c>
      <c r="E74" s="62">
        <v>17.821148424092314</v>
      </c>
      <c r="F74" s="43">
        <v>22.321594371883773</v>
      </c>
      <c r="G74" s="62">
        <v>19.2388016580299</v>
      </c>
      <c r="H74" s="62">
        <v>22.783339623086782</v>
      </c>
      <c r="I74" s="62">
        <v>24.436128594453578</v>
      </c>
      <c r="J74" s="62">
        <v>24.202323606972996</v>
      </c>
      <c r="K74" s="43">
        <v>22.520589361379923</v>
      </c>
      <c r="L74" s="62">
        <v>28.79132905609564</v>
      </c>
      <c r="M74" s="62">
        <v>21.625722987022325</v>
      </c>
      <c r="N74" s="62">
        <v>24.157893815637088</v>
      </c>
      <c r="O74" s="62">
        <v>24.66625351189881</v>
      </c>
      <c r="P74" s="43">
        <v>24.46746010066268</v>
      </c>
      <c r="Q74" s="62">
        <v>24.70538187336274</v>
      </c>
      <c r="R74" s="62">
        <v>28.420270468898067</v>
      </c>
      <c r="S74" s="62">
        <v>32.35322486833248</v>
      </c>
      <c r="T74" s="62">
        <v>30.217403447108044</v>
      </c>
      <c r="U74" s="43">
        <v>28.95731786451042</v>
      </c>
      <c r="V74" s="62">
        <v>34.74661285033767</v>
      </c>
      <c r="W74" s="62">
        <v>38.7427764436532</v>
      </c>
      <c r="X74" s="62">
        <v>48.56577463270425</v>
      </c>
      <c r="Y74" s="62">
        <v>43.299824637343875</v>
      </c>
      <c r="Z74" s="198">
        <v>41.2</v>
      </c>
      <c r="AA74" s="62">
        <v>47.23615221231506</v>
      </c>
      <c r="AB74" s="62">
        <v>52.12310892077903</v>
      </c>
      <c r="AC74" s="62">
        <v>54.401495151411396</v>
      </c>
      <c r="AD74" s="62">
        <v>45.5</v>
      </c>
      <c r="AE74" s="198">
        <v>49.8</v>
      </c>
      <c r="AF74" s="62">
        <v>43.5</v>
      </c>
      <c r="AG74" s="62">
        <v>53.6</v>
      </c>
      <c r="AH74" s="62">
        <v>59.2</v>
      </c>
      <c r="AI74" s="62">
        <v>69.3</v>
      </c>
      <c r="AJ74" s="198">
        <v>56.2</v>
      </c>
      <c r="AK74" s="62">
        <v>75.7</v>
      </c>
      <c r="AL74" s="62">
        <v>95.5</v>
      </c>
      <c r="AM74" s="62">
        <v>89.6</v>
      </c>
      <c r="AN74" s="62">
        <v>41.7</v>
      </c>
      <c r="AO74" s="198">
        <v>74.7</v>
      </c>
      <c r="AP74" s="62">
        <v>32.8</v>
      </c>
      <c r="AQ74" s="62">
        <v>47</v>
      </c>
      <c r="AR74" s="62">
        <v>53.8</v>
      </c>
      <c r="AS74" s="62">
        <v>59.9</v>
      </c>
      <c r="AT74" s="198">
        <v>48.2</v>
      </c>
      <c r="AU74" s="62">
        <v>58.8</v>
      </c>
      <c r="AV74" s="23">
        <v>60.7</v>
      </c>
      <c r="AW74" s="23">
        <v>58.9</v>
      </c>
      <c r="AX74" s="23">
        <v>64.4</v>
      </c>
      <c r="AY74" s="198">
        <v>60.9</v>
      </c>
      <c r="AZ74" s="79"/>
      <c r="BA74" s="79"/>
      <c r="BB74" s="79"/>
      <c r="BC74" s="79"/>
      <c r="BD74" s="79"/>
      <c r="BE74" s="79"/>
      <c r="BF74" s="79"/>
      <c r="BG74" s="79"/>
      <c r="BH74" s="79"/>
      <c r="BI74" s="79"/>
    </row>
    <row r="75" spans="1:61" ht="12.75">
      <c r="A75" s="178" t="s">
        <v>232</v>
      </c>
      <c r="B75" s="62">
        <v>15.084143109173205</v>
      </c>
      <c r="C75" s="62">
        <v>16.416061235412187</v>
      </c>
      <c r="D75" s="62">
        <v>16.133673729705773</v>
      </c>
      <c r="E75" s="62">
        <v>13.453065039607594</v>
      </c>
      <c r="F75" s="43">
        <v>15.126939340016218</v>
      </c>
      <c r="G75" s="62">
        <v>14.800699046508884</v>
      </c>
      <c r="H75" s="62">
        <v>16.757663453790308</v>
      </c>
      <c r="I75" s="62">
        <v>17.991395178016997</v>
      </c>
      <c r="J75" s="62">
        <v>18.023143966389863</v>
      </c>
      <c r="K75" s="43">
        <v>16.765403401869857</v>
      </c>
      <c r="L75" s="62">
        <v>21.027659022243416</v>
      </c>
      <c r="M75" s="62">
        <v>19.486766340826126</v>
      </c>
      <c r="N75" s="62">
        <v>21.042257760275866</v>
      </c>
      <c r="O75" s="62">
        <v>21.594063029000296</v>
      </c>
      <c r="P75" s="43">
        <v>20.80732837930599</v>
      </c>
      <c r="Q75" s="62">
        <v>24.64755265419112</v>
      </c>
      <c r="R75" s="62">
        <v>26.992160748889326</v>
      </c>
      <c r="S75" s="62">
        <v>30.246478698251963</v>
      </c>
      <c r="T75" s="62">
        <v>30.27171049392824</v>
      </c>
      <c r="U75" s="43">
        <v>27.987533207410824</v>
      </c>
      <c r="V75" s="62">
        <v>33.43336654688363</v>
      </c>
      <c r="W75" s="62">
        <v>37.02447973992378</v>
      </c>
      <c r="X75" s="62">
        <v>43.81490752616159</v>
      </c>
      <c r="Y75" s="62">
        <v>43.711823509580434</v>
      </c>
      <c r="Z75" s="198">
        <v>39.68795891337043</v>
      </c>
      <c r="AA75" s="62">
        <v>47.4</v>
      </c>
      <c r="AB75" s="62">
        <v>50.7</v>
      </c>
      <c r="AC75" s="62">
        <v>52.3</v>
      </c>
      <c r="AD75" s="62">
        <v>48</v>
      </c>
      <c r="AE75" s="198">
        <v>49.5</v>
      </c>
      <c r="AF75" s="62">
        <v>46.8</v>
      </c>
      <c r="AG75" s="62">
        <v>51.1</v>
      </c>
      <c r="AH75" s="62">
        <v>54</v>
      </c>
      <c r="AI75" s="62">
        <v>61.9</v>
      </c>
      <c r="AJ75" s="198">
        <v>53.4</v>
      </c>
      <c r="AK75" s="62">
        <v>69.9</v>
      </c>
      <c r="AL75" s="62">
        <v>83.4</v>
      </c>
      <c r="AM75" s="62">
        <v>86.7</v>
      </c>
      <c r="AN75" s="62">
        <v>63.7</v>
      </c>
      <c r="AO75" s="198">
        <v>75.4</v>
      </c>
      <c r="AP75" s="62">
        <v>55.4</v>
      </c>
      <c r="AQ75" s="62">
        <v>52.5</v>
      </c>
      <c r="AR75" s="62">
        <v>49.1</v>
      </c>
      <c r="AS75" s="62">
        <v>53.1</v>
      </c>
      <c r="AT75" s="198">
        <v>52.2</v>
      </c>
      <c r="AU75" s="62">
        <v>55.9</v>
      </c>
      <c r="AV75" s="235">
        <v>58</v>
      </c>
      <c r="AW75" s="235">
        <v>57.9</v>
      </c>
      <c r="AX75" s="235">
        <v>61.4</v>
      </c>
      <c r="AY75" s="198">
        <v>58.4</v>
      </c>
      <c r="AZ75" s="79"/>
      <c r="BA75" s="79"/>
      <c r="BB75" s="79"/>
      <c r="BC75" s="79"/>
      <c r="BD75" s="79"/>
      <c r="BE75" s="79"/>
      <c r="BF75" s="79"/>
      <c r="BG75" s="79"/>
      <c r="BH75" s="79"/>
      <c r="BI75" s="79"/>
    </row>
    <row r="76" spans="52:61" ht="12.75">
      <c r="AZ76" s="56"/>
      <c r="BA76" s="56"/>
      <c r="BB76" s="56"/>
      <c r="BC76" s="56"/>
      <c r="BD76" s="56"/>
      <c r="BE76" s="56"/>
      <c r="BF76" s="56"/>
      <c r="BG76" s="56"/>
      <c r="BH76" s="56"/>
      <c r="BI76" s="56"/>
    </row>
    <row r="77" spans="52:61" ht="12.75">
      <c r="AZ77" s="56"/>
      <c r="BA77" s="56"/>
      <c r="BB77" s="56"/>
      <c r="BC77" s="56"/>
      <c r="BD77" s="56"/>
      <c r="BE77" s="56"/>
      <c r="BF77" s="56"/>
      <c r="BG77" s="56"/>
      <c r="BH77" s="56"/>
      <c r="BI77" s="56"/>
    </row>
    <row r="78" ht="12.75"/>
    <row r="79" ht="12.75"/>
    <row r="80" ht="12.75"/>
    <row r="81" ht="12.75"/>
    <row r="82" ht="12.75"/>
    <row r="83" ht="12.75"/>
    <row r="84" ht="12.75"/>
    <row r="85" ht="12.75"/>
    <row r="86" ht="12.75"/>
    <row r="87" ht="12.75"/>
    <row r="88" ht="12.75"/>
    <row r="89" ht="12.75"/>
  </sheetData>
  <sheetProtection/>
  <printOptions/>
  <pageMargins left="0.75" right="0.75" top="0.55" bottom="0.46" header="0.5" footer="0.5"/>
  <pageSetup fitToHeight="1" fitToWidth="1" horizontalDpi="300" verticalDpi="300" orientation="landscape" paperSize="9" scale="83" r:id="rId3"/>
  <legacyDrawing r:id="rId2"/>
</worksheet>
</file>

<file path=xl/worksheets/sheet6.xml><?xml version="1.0" encoding="utf-8"?>
<worksheet xmlns="http://schemas.openxmlformats.org/spreadsheetml/2006/main" xmlns:r="http://schemas.openxmlformats.org/officeDocument/2006/relationships">
  <sheetPr>
    <tabColor indexed="50"/>
    <pageSetUpPr fitToPage="1"/>
  </sheetPr>
  <dimension ref="A1:IV72"/>
  <sheetViews>
    <sheetView zoomScalePageLayoutView="0" workbookViewId="0" topLeftCell="A1">
      <pane xSplit="1" ySplit="3" topLeftCell="BK4" activePane="bottomRight" state="frozen"/>
      <selection pane="topLeft" activeCell="V51" sqref="V51"/>
      <selection pane="topRight" activeCell="V51" sqref="V51"/>
      <selection pane="bottomLeft" activeCell="V51" sqref="V51"/>
      <selection pane="bottomRight" activeCell="A3" sqref="A3"/>
    </sheetView>
  </sheetViews>
  <sheetFormatPr defaultColWidth="9.140625" defaultRowHeight="12.75" zeroHeight="1" outlineLevelCol="1"/>
  <cols>
    <col min="1" max="1" width="61.28125" style="23" bestFit="1" customWidth="1"/>
    <col min="2" max="21" width="9.140625" style="23" hidden="1" customWidth="1" outlineLevel="1"/>
    <col min="22" max="22" width="9.140625" style="23" customWidth="1" collapsed="1"/>
    <col min="23" max="50" width="9.140625" style="23" customWidth="1"/>
    <col min="51" max="51" width="7.8515625" style="23" bestFit="1" customWidth="1"/>
    <col min="52" max="52" width="9.8515625" style="341" customWidth="1"/>
    <col min="53" max="53" width="9.8515625" style="23" customWidth="1"/>
    <col min="54" max="54" width="11.00390625" style="23" bestFit="1" customWidth="1"/>
    <col min="55" max="55" width="12.28125" style="23" customWidth="1"/>
    <col min="56" max="56" width="11.8515625" style="23" customWidth="1"/>
    <col min="57" max="57" width="11.00390625" style="23" bestFit="1" customWidth="1"/>
    <col min="58" max="58" width="12.8515625" style="23" customWidth="1"/>
    <col min="59" max="59" width="9.140625" style="23" customWidth="1"/>
    <col min="60" max="60" width="13.57421875" style="23" customWidth="1"/>
    <col min="61" max="61" width="9.140625" style="23" customWidth="1"/>
    <col min="62" max="62" width="12.421875" style="23" customWidth="1"/>
    <col min="63" max="64" width="11.7109375" style="23" bestFit="1" customWidth="1"/>
    <col min="65" max="65" width="12.421875" style="23" bestFit="1" customWidth="1"/>
    <col min="66" max="66" width="9.140625" style="23" customWidth="1"/>
    <col min="67" max="68" width="12.421875" style="23" bestFit="1" customWidth="1"/>
    <col min="69" max="16384" width="9.140625" style="23" customWidth="1"/>
  </cols>
  <sheetData>
    <row r="1" ht="12.75">
      <c r="A1" s="25"/>
    </row>
    <row r="2" ht="12.75"/>
    <row r="3" spans="1:73" ht="38.25">
      <c r="A3" s="30" t="s">
        <v>541</v>
      </c>
      <c r="B3" s="7" t="s">
        <v>2</v>
      </c>
      <c r="C3" s="7" t="s">
        <v>3</v>
      </c>
      <c r="D3" s="7" t="s">
        <v>4</v>
      </c>
      <c r="E3" s="7" t="s">
        <v>5</v>
      </c>
      <c r="F3" s="7" t="s">
        <v>6</v>
      </c>
      <c r="G3" s="7" t="s">
        <v>12</v>
      </c>
      <c r="H3" s="7" t="s">
        <v>13</v>
      </c>
      <c r="I3" s="7" t="s">
        <v>14</v>
      </c>
      <c r="J3" s="7" t="s">
        <v>15</v>
      </c>
      <c r="K3" s="7" t="s">
        <v>16</v>
      </c>
      <c r="L3" s="7" t="s">
        <v>17</v>
      </c>
      <c r="M3" s="7" t="s">
        <v>18</v>
      </c>
      <c r="N3" s="7" t="s">
        <v>19</v>
      </c>
      <c r="O3" s="7" t="s">
        <v>20</v>
      </c>
      <c r="P3" s="7" t="s">
        <v>21</v>
      </c>
      <c r="Q3" s="7" t="s">
        <v>22</v>
      </c>
      <c r="R3" s="7" t="s">
        <v>23</v>
      </c>
      <c r="S3" s="7" t="s">
        <v>24</v>
      </c>
      <c r="T3" s="7" t="s">
        <v>25</v>
      </c>
      <c r="U3" s="7" t="s">
        <v>26</v>
      </c>
      <c r="V3" s="7" t="s">
        <v>27</v>
      </c>
      <c r="W3" s="7" t="s">
        <v>28</v>
      </c>
      <c r="X3" s="7" t="s">
        <v>29</v>
      </c>
      <c r="Y3" s="7" t="s">
        <v>30</v>
      </c>
      <c r="Z3" s="7" t="s">
        <v>31</v>
      </c>
      <c r="AA3" s="7" t="s">
        <v>32</v>
      </c>
      <c r="AB3" s="7" t="s">
        <v>33</v>
      </c>
      <c r="AC3" s="7" t="s">
        <v>34</v>
      </c>
      <c r="AD3" s="7" t="s">
        <v>271</v>
      </c>
      <c r="AE3" s="7" t="s">
        <v>272</v>
      </c>
      <c r="AF3" s="7" t="s">
        <v>274</v>
      </c>
      <c r="AG3" s="7" t="s">
        <v>276</v>
      </c>
      <c r="AH3" s="7" t="s">
        <v>278</v>
      </c>
      <c r="AI3" s="6" t="s">
        <v>280</v>
      </c>
      <c r="AJ3" s="6" t="s">
        <v>281</v>
      </c>
      <c r="AK3" s="7" t="s">
        <v>289</v>
      </c>
      <c r="AL3" s="7" t="s">
        <v>290</v>
      </c>
      <c r="AM3" s="7" t="s">
        <v>291</v>
      </c>
      <c r="AN3" s="6" t="s">
        <v>292</v>
      </c>
      <c r="AO3" s="6" t="s">
        <v>293</v>
      </c>
      <c r="AP3" s="7" t="s">
        <v>329</v>
      </c>
      <c r="AQ3" s="7" t="s">
        <v>330</v>
      </c>
      <c r="AR3" s="7" t="s">
        <v>331</v>
      </c>
      <c r="AS3" s="6" t="s">
        <v>332</v>
      </c>
      <c r="AT3" s="6" t="s">
        <v>333</v>
      </c>
      <c r="AU3" s="7" t="s">
        <v>448</v>
      </c>
      <c r="AV3" s="7" t="s">
        <v>451</v>
      </c>
      <c r="AW3" s="7" t="s">
        <v>453</v>
      </c>
      <c r="AX3" s="7" t="s">
        <v>454</v>
      </c>
      <c r="AY3" s="6" t="s">
        <v>457</v>
      </c>
      <c r="AZ3" s="342" t="s">
        <v>492</v>
      </c>
      <c r="BA3" s="7" t="s">
        <v>553</v>
      </c>
      <c r="BB3" s="7" t="s">
        <v>560</v>
      </c>
      <c r="BC3" s="7" t="s">
        <v>493</v>
      </c>
      <c r="BD3" s="7" t="s">
        <v>582</v>
      </c>
      <c r="BE3" s="6" t="s">
        <v>494</v>
      </c>
      <c r="BF3" s="6" t="s">
        <v>573</v>
      </c>
      <c r="BG3" s="7" t="s">
        <v>495</v>
      </c>
      <c r="BH3" s="7" t="s">
        <v>598</v>
      </c>
      <c r="BI3" s="7" t="s">
        <v>554</v>
      </c>
      <c r="BJ3" s="7" t="s">
        <v>614</v>
      </c>
      <c r="BK3" s="7" t="s">
        <v>561</v>
      </c>
      <c r="BL3" s="7" t="s">
        <v>572</v>
      </c>
      <c r="BM3" s="7" t="s">
        <v>570</v>
      </c>
      <c r="BN3" s="7" t="s">
        <v>596</v>
      </c>
      <c r="BO3" s="6" t="s">
        <v>574</v>
      </c>
      <c r="BP3" s="6" t="s">
        <v>597</v>
      </c>
      <c r="BQ3" s="7" t="s">
        <v>595</v>
      </c>
      <c r="BR3" s="7" t="s">
        <v>605</v>
      </c>
      <c r="BS3" s="7" t="s">
        <v>617</v>
      </c>
      <c r="BT3" s="7" t="s">
        <v>619</v>
      </c>
      <c r="BU3" s="7" t="s">
        <v>620</v>
      </c>
    </row>
    <row r="4" ht="12.75" customHeight="1">
      <c r="A4" s="131" t="s">
        <v>524</v>
      </c>
    </row>
    <row r="5" spans="1:73" s="24" customFormat="1" ht="12.75">
      <c r="A5" s="29" t="s">
        <v>8</v>
      </c>
      <c r="B5" s="66">
        <v>22.218</v>
      </c>
      <c r="C5" s="66">
        <v>25.826</v>
      </c>
      <c r="D5" s="66">
        <v>24.587</v>
      </c>
      <c r="E5" s="66">
        <v>23.952</v>
      </c>
      <c r="F5" s="67">
        <v>96.583</v>
      </c>
      <c r="G5" s="66">
        <v>9.997</v>
      </c>
      <c r="H5" s="66">
        <v>27.801</v>
      </c>
      <c r="I5" s="66">
        <v>18.345</v>
      </c>
      <c r="J5" s="66">
        <v>8.391</v>
      </c>
      <c r="K5" s="67">
        <v>64.534</v>
      </c>
      <c r="L5" s="66">
        <v>19.919</v>
      </c>
      <c r="M5" s="66">
        <v>23.269</v>
      </c>
      <c r="N5" s="66">
        <v>32.782</v>
      </c>
      <c r="O5" s="66">
        <v>32.694</v>
      </c>
      <c r="P5" s="67">
        <v>108.664</v>
      </c>
      <c r="Q5" s="66">
        <v>35.395</v>
      </c>
      <c r="R5" s="66">
        <v>45.334</v>
      </c>
      <c r="S5" s="66">
        <v>70.847</v>
      </c>
      <c r="T5" s="66">
        <v>63.499</v>
      </c>
      <c r="U5" s="67">
        <v>215.075</v>
      </c>
      <c r="V5" s="66">
        <v>50.578</v>
      </c>
      <c r="W5" s="66">
        <v>64.669</v>
      </c>
      <c r="X5" s="66">
        <v>64.432</v>
      </c>
      <c r="Y5" s="66">
        <v>58.715</v>
      </c>
      <c r="Z5" s="67">
        <v>238.394</v>
      </c>
      <c r="AA5" s="66">
        <v>40.101</v>
      </c>
      <c r="AB5" s="66">
        <v>84.5</v>
      </c>
      <c r="AC5" s="66">
        <v>74.6</v>
      </c>
      <c r="AD5" s="66">
        <f>AE5-AC5-AB5-AA5</f>
        <v>31.998999999999995</v>
      </c>
      <c r="AE5" s="67">
        <v>231.2</v>
      </c>
      <c r="AF5" s="66">
        <v>43.9</v>
      </c>
      <c r="AG5" s="66">
        <v>74.6</v>
      </c>
      <c r="AH5" s="66">
        <v>63</v>
      </c>
      <c r="AI5" s="66">
        <v>53.7</v>
      </c>
      <c r="AJ5" s="67">
        <v>235.1</v>
      </c>
      <c r="AK5" s="66">
        <v>57.8</v>
      </c>
      <c r="AL5" s="66">
        <v>86.3</v>
      </c>
      <c r="AM5" s="66">
        <v>22.9</v>
      </c>
      <c r="AN5" s="66">
        <v>-20</v>
      </c>
      <c r="AO5" s="67">
        <v>147</v>
      </c>
      <c r="AP5" s="66">
        <v>24.6</v>
      </c>
      <c r="AQ5" s="66">
        <v>63.2</v>
      </c>
      <c r="AR5" s="66">
        <v>22.3</v>
      </c>
      <c r="AS5" s="66">
        <f>+AT5-AP5-AQ5-AR5</f>
        <v>-1.0999999999999979</v>
      </c>
      <c r="AT5" s="67">
        <v>109</v>
      </c>
      <c r="AU5" s="66">
        <v>20.6</v>
      </c>
      <c r="AV5" s="66">
        <v>44.7</v>
      </c>
      <c r="AW5" s="66">
        <v>44.8</v>
      </c>
      <c r="AX5" s="66">
        <v>29.6</v>
      </c>
      <c r="AY5" s="67">
        <v>139.7</v>
      </c>
      <c r="AZ5" s="443">
        <v>24.2</v>
      </c>
      <c r="BA5" s="66">
        <v>42</v>
      </c>
      <c r="BB5" s="66">
        <v>61.8</v>
      </c>
      <c r="BC5" s="66">
        <v>21.5</v>
      </c>
      <c r="BD5" s="66">
        <v>21.9</v>
      </c>
      <c r="BE5" s="11">
        <v>149.5</v>
      </c>
      <c r="BF5" s="11">
        <v>151</v>
      </c>
      <c r="BG5" s="60">
        <v>59.4</v>
      </c>
      <c r="BH5" s="60">
        <v>59.8</v>
      </c>
      <c r="BI5" s="60">
        <v>33.5</v>
      </c>
      <c r="BJ5" s="60">
        <v>39.3</v>
      </c>
      <c r="BK5" s="60">
        <v>4.099999999999994</v>
      </c>
      <c r="BL5" s="60">
        <v>4.9</v>
      </c>
      <c r="BM5" s="60">
        <v>-19.9</v>
      </c>
      <c r="BN5" s="60">
        <v>-18.3</v>
      </c>
      <c r="BO5" s="11">
        <v>84.2</v>
      </c>
      <c r="BP5" s="11">
        <v>85.8</v>
      </c>
      <c r="BQ5" s="60">
        <v>47.2</v>
      </c>
      <c r="BR5" s="60">
        <v>-12.6</v>
      </c>
      <c r="BS5" s="60">
        <v>75.906</v>
      </c>
      <c r="BT5" s="60">
        <v>29.5</v>
      </c>
      <c r="BU5" s="60">
        <f>SUM(BQ5:BT5)</f>
        <v>140.006</v>
      </c>
    </row>
    <row r="6" spans="1:73" ht="12.75">
      <c r="A6" s="31" t="s">
        <v>539</v>
      </c>
      <c r="B6" s="62"/>
      <c r="C6" s="62"/>
      <c r="D6" s="62"/>
      <c r="E6" s="62"/>
      <c r="F6" s="43"/>
      <c r="G6" s="62"/>
      <c r="H6" s="62"/>
      <c r="I6" s="62"/>
      <c r="J6" s="62"/>
      <c r="K6" s="43"/>
      <c r="L6" s="62"/>
      <c r="M6" s="62"/>
      <c r="N6" s="62"/>
      <c r="O6" s="62"/>
      <c r="P6" s="43"/>
      <c r="Q6" s="62"/>
      <c r="R6" s="62"/>
      <c r="S6" s="62"/>
      <c r="T6" s="62"/>
      <c r="U6" s="43"/>
      <c r="V6" s="62"/>
      <c r="W6" s="62"/>
      <c r="X6" s="62"/>
      <c r="Y6" s="62"/>
      <c r="Z6" s="43"/>
      <c r="AA6" s="62"/>
      <c r="AB6" s="62"/>
      <c r="AC6" s="62"/>
      <c r="AD6" s="62"/>
      <c r="AE6" s="43"/>
      <c r="AF6" s="62"/>
      <c r="AG6" s="62"/>
      <c r="AH6" s="62"/>
      <c r="AI6" s="62"/>
      <c r="AJ6" s="43"/>
      <c r="AK6" s="62"/>
      <c r="AL6" s="62"/>
      <c r="AM6" s="62"/>
      <c r="AN6" s="62"/>
      <c r="AO6" s="43"/>
      <c r="AP6" s="62"/>
      <c r="AQ6" s="62"/>
      <c r="AR6" s="62"/>
      <c r="AS6" s="62"/>
      <c r="AT6" s="43"/>
      <c r="AU6" s="62"/>
      <c r="AV6" s="62"/>
      <c r="AW6" s="62"/>
      <c r="AX6" s="62"/>
      <c r="AY6" s="43"/>
      <c r="AZ6" s="343">
        <v>24.4</v>
      </c>
      <c r="BA6" s="62">
        <v>42</v>
      </c>
      <c r="BB6" s="62">
        <v>80.4</v>
      </c>
      <c r="BC6" s="62">
        <v>29.8</v>
      </c>
      <c r="BD6" s="62">
        <v>30.1</v>
      </c>
      <c r="BE6" s="9">
        <v>176.6</v>
      </c>
      <c r="BF6" s="9">
        <v>178</v>
      </c>
      <c r="BG6" s="59">
        <v>66.4</v>
      </c>
      <c r="BH6" s="59">
        <v>66.8</v>
      </c>
      <c r="BI6" s="59">
        <v>45.4</v>
      </c>
      <c r="BJ6" s="59">
        <v>45.7</v>
      </c>
      <c r="BK6" s="59">
        <v>10.8</v>
      </c>
      <c r="BL6" s="59">
        <v>11.6</v>
      </c>
      <c r="BM6" s="59">
        <v>-7.1</v>
      </c>
      <c r="BN6" s="59">
        <v>-5.4</v>
      </c>
      <c r="BO6" s="11">
        <v>117.1</v>
      </c>
      <c r="BP6" s="11">
        <v>118.7</v>
      </c>
      <c r="BQ6" s="59">
        <v>53.3</v>
      </c>
      <c r="BR6" s="59">
        <v>-5.6</v>
      </c>
      <c r="BS6" s="59">
        <v>86.094</v>
      </c>
      <c r="BT6" s="59">
        <v>35.2</v>
      </c>
      <c r="BU6" s="59">
        <f>SUM(BQ6:BT6)-0.1</f>
        <v>168.89399999999998</v>
      </c>
    </row>
    <row r="7" spans="1:73" s="24" customFormat="1" ht="12.75">
      <c r="A7" s="513" t="s">
        <v>618</v>
      </c>
      <c r="B7" s="66"/>
      <c r="C7" s="66"/>
      <c r="D7" s="66"/>
      <c r="E7" s="66"/>
      <c r="F7" s="67"/>
      <c r="G7" s="66"/>
      <c r="H7" s="66"/>
      <c r="I7" s="66"/>
      <c r="J7" s="66"/>
      <c r="K7" s="67"/>
      <c r="L7" s="66"/>
      <c r="M7" s="66"/>
      <c r="N7" s="66"/>
      <c r="O7" s="66"/>
      <c r="P7" s="67"/>
      <c r="Q7" s="66"/>
      <c r="R7" s="66"/>
      <c r="S7" s="66"/>
      <c r="T7" s="66"/>
      <c r="U7" s="67"/>
      <c r="V7" s="62"/>
      <c r="W7" s="62"/>
      <c r="X7" s="62"/>
      <c r="Y7" s="62"/>
      <c r="Z7" s="43"/>
      <c r="AA7" s="62"/>
      <c r="AB7" s="62"/>
      <c r="AC7" s="62"/>
      <c r="AD7" s="62"/>
      <c r="AE7" s="43"/>
      <c r="AF7" s="62"/>
      <c r="AG7" s="62"/>
      <c r="AH7" s="62"/>
      <c r="AI7" s="62"/>
      <c r="AJ7" s="43"/>
      <c r="AK7" s="62"/>
      <c r="AL7" s="62"/>
      <c r="AM7" s="62"/>
      <c r="AN7" s="62"/>
      <c r="AO7" s="43"/>
      <c r="AP7" s="62"/>
      <c r="AQ7" s="62"/>
      <c r="AR7" s="62"/>
      <c r="AS7" s="62"/>
      <c r="AT7" s="43"/>
      <c r="AU7" s="62"/>
      <c r="AV7" s="62"/>
      <c r="AW7" s="62"/>
      <c r="AX7" s="62"/>
      <c r="AY7" s="43"/>
      <c r="AZ7" s="225"/>
      <c r="BA7" s="225"/>
      <c r="BB7" s="225"/>
      <c r="BC7" s="225"/>
      <c r="BD7" s="225"/>
      <c r="BE7" s="225"/>
      <c r="BF7" s="225"/>
      <c r="BG7" s="225"/>
      <c r="BH7" s="60">
        <f>56.4-BJ7</f>
        <v>16.799999999999997</v>
      </c>
      <c r="BI7" s="225"/>
      <c r="BJ7" s="60">
        <v>39.6</v>
      </c>
      <c r="BK7" s="225"/>
      <c r="BL7" s="60">
        <v>22.9</v>
      </c>
      <c r="BM7" s="225"/>
      <c r="BN7" s="60">
        <v>2.3</v>
      </c>
      <c r="BO7" s="11"/>
      <c r="BP7" s="11">
        <f>+BN7+BL7+BJ7+BH7-0.1</f>
        <v>81.5</v>
      </c>
      <c r="BQ7" s="60">
        <v>22.2</v>
      </c>
      <c r="BR7" s="60">
        <v>45.9</v>
      </c>
      <c r="BS7" s="60">
        <v>55.4</v>
      </c>
      <c r="BT7" s="60">
        <v>43.9</v>
      </c>
      <c r="BU7" s="60">
        <f aca="true" t="shared" si="0" ref="BU7:BU16">SUM(BQ7:BT7)</f>
        <v>167.4</v>
      </c>
    </row>
    <row r="8" spans="1:73" s="24" customFormat="1" ht="12.75">
      <c r="A8" s="29" t="s">
        <v>35</v>
      </c>
      <c r="B8" s="66">
        <v>15.886</v>
      </c>
      <c r="C8" s="66">
        <v>19.325</v>
      </c>
      <c r="D8" s="66">
        <v>18.065</v>
      </c>
      <c r="E8" s="66">
        <v>16.86</v>
      </c>
      <c r="F8" s="67">
        <v>70.136</v>
      </c>
      <c r="G8" s="66">
        <v>3.423</v>
      </c>
      <c r="H8" s="66">
        <v>21.08</v>
      </c>
      <c r="I8" s="66">
        <v>11.526</v>
      </c>
      <c r="J8" s="66">
        <v>1.321</v>
      </c>
      <c r="K8" s="67">
        <v>37.35</v>
      </c>
      <c r="L8" s="66">
        <v>13.483</v>
      </c>
      <c r="M8" s="66">
        <v>12.182</v>
      </c>
      <c r="N8" s="66">
        <v>21.404</v>
      </c>
      <c r="O8" s="66">
        <v>20.565</v>
      </c>
      <c r="P8" s="67">
        <v>67.634</v>
      </c>
      <c r="Q8" s="66">
        <v>23.634</v>
      </c>
      <c r="R8" s="66">
        <v>32.18</v>
      </c>
      <c r="S8" s="66">
        <v>59.047</v>
      </c>
      <c r="T8" s="66">
        <v>44.041</v>
      </c>
      <c r="U8" s="67">
        <v>158.902</v>
      </c>
      <c r="V8" s="66">
        <v>37.683</v>
      </c>
      <c r="W8" s="66">
        <v>50.179</v>
      </c>
      <c r="X8" s="66">
        <v>50.698</v>
      </c>
      <c r="Y8" s="66">
        <v>38.427</v>
      </c>
      <c r="Z8" s="67">
        <v>176.987</v>
      </c>
      <c r="AA8" s="66">
        <v>24.235</v>
      </c>
      <c r="AB8" s="66">
        <v>69.079</v>
      </c>
      <c r="AC8" s="66">
        <v>58.7</v>
      </c>
      <c r="AD8" s="66">
        <f>AE8-AC8-AB8-AA8</f>
        <v>16.986000000000004</v>
      </c>
      <c r="AE8" s="67">
        <v>169</v>
      </c>
      <c r="AF8" s="66">
        <v>28.4</v>
      </c>
      <c r="AG8" s="66">
        <v>58.5</v>
      </c>
      <c r="AH8" s="66">
        <v>47.2</v>
      </c>
      <c r="AI8" s="66">
        <v>37.8</v>
      </c>
      <c r="AJ8" s="67">
        <v>171.9</v>
      </c>
      <c r="AK8" s="66">
        <v>40.1</v>
      </c>
      <c r="AL8" s="66">
        <v>69</v>
      </c>
      <c r="AM8" s="66">
        <v>4.5</v>
      </c>
      <c r="AN8" s="66">
        <v>-41.3</v>
      </c>
      <c r="AO8" s="67">
        <v>72.4</v>
      </c>
      <c r="AP8" s="66">
        <v>4.7</v>
      </c>
      <c r="AQ8" s="66">
        <v>41.3</v>
      </c>
      <c r="AR8" s="60">
        <v>-1.7</v>
      </c>
      <c r="AS8" s="60">
        <f>+AT8-AP8-AQ8-AR8</f>
        <v>-28.9</v>
      </c>
      <c r="AT8" s="67">
        <v>15.4</v>
      </c>
      <c r="AU8" s="60">
        <v>-3</v>
      </c>
      <c r="AV8" s="60">
        <v>20.8</v>
      </c>
      <c r="AW8" s="60">
        <v>19.9</v>
      </c>
      <c r="AX8" s="60">
        <v>3.3</v>
      </c>
      <c r="AY8" s="67">
        <v>41</v>
      </c>
      <c r="AZ8" s="344">
        <v>-4.1</v>
      </c>
      <c r="BA8" s="60">
        <v>13.4</v>
      </c>
      <c r="BB8" s="60">
        <v>32</v>
      </c>
      <c r="BC8" s="60">
        <v>-9.8</v>
      </c>
      <c r="BD8" s="60">
        <v>-9.8</v>
      </c>
      <c r="BE8" s="11">
        <v>31.6</v>
      </c>
      <c r="BF8" s="11">
        <v>31.6</v>
      </c>
      <c r="BG8" s="60">
        <v>32.1</v>
      </c>
      <c r="BH8" s="60">
        <v>32.1</v>
      </c>
      <c r="BI8" s="60">
        <v>5.4</v>
      </c>
      <c r="BJ8" s="60">
        <v>5.4</v>
      </c>
      <c r="BK8" s="60">
        <v>-24.3</v>
      </c>
      <c r="BL8" s="60">
        <v>-24.2</v>
      </c>
      <c r="BM8" s="60">
        <v>-88.8</v>
      </c>
      <c r="BN8" s="60">
        <v>-87.5</v>
      </c>
      <c r="BO8" s="11">
        <v>-75.5</v>
      </c>
      <c r="BP8" s="11">
        <v>-74.2</v>
      </c>
      <c r="BQ8" s="60">
        <v>15.4</v>
      </c>
      <c r="BR8" s="60">
        <v>-44</v>
      </c>
      <c r="BS8" s="60">
        <v>44.1</v>
      </c>
      <c r="BT8" s="60">
        <v>-11.6</v>
      </c>
      <c r="BU8" s="60">
        <f>SUM(BQ8:BT8)-0.1</f>
        <v>3.8000000000000003</v>
      </c>
    </row>
    <row r="9" spans="1:73" ht="12.75">
      <c r="A9" s="31" t="s">
        <v>540</v>
      </c>
      <c r="B9" s="62"/>
      <c r="C9" s="62"/>
      <c r="D9" s="62"/>
      <c r="E9" s="62"/>
      <c r="F9" s="43"/>
      <c r="G9" s="62"/>
      <c r="H9" s="62"/>
      <c r="I9" s="62"/>
      <c r="J9" s="62"/>
      <c r="K9" s="43"/>
      <c r="L9" s="62"/>
      <c r="M9" s="62"/>
      <c r="N9" s="62"/>
      <c r="O9" s="62"/>
      <c r="P9" s="43"/>
      <c r="Q9" s="62"/>
      <c r="R9" s="62"/>
      <c r="S9" s="62"/>
      <c r="T9" s="62"/>
      <c r="U9" s="43"/>
      <c r="V9" s="62"/>
      <c r="W9" s="62"/>
      <c r="X9" s="62"/>
      <c r="Y9" s="62"/>
      <c r="Z9" s="43"/>
      <c r="AA9" s="62"/>
      <c r="AB9" s="62"/>
      <c r="AC9" s="62"/>
      <c r="AD9" s="62"/>
      <c r="AE9" s="43"/>
      <c r="AF9" s="62"/>
      <c r="AG9" s="62"/>
      <c r="AH9" s="62"/>
      <c r="AI9" s="62"/>
      <c r="AJ9" s="43"/>
      <c r="AK9" s="62"/>
      <c r="AL9" s="62"/>
      <c r="AM9" s="62"/>
      <c r="AN9" s="62"/>
      <c r="AO9" s="43"/>
      <c r="AP9" s="62"/>
      <c r="AQ9" s="62"/>
      <c r="AR9" s="59"/>
      <c r="AS9" s="59"/>
      <c r="AT9" s="43"/>
      <c r="AU9" s="59"/>
      <c r="AV9" s="59"/>
      <c r="AW9" s="59"/>
      <c r="AX9" s="59"/>
      <c r="AY9" s="43"/>
      <c r="AZ9" s="353">
        <v>-3.9</v>
      </c>
      <c r="BA9" s="59">
        <v>13.4</v>
      </c>
      <c r="BB9" s="59">
        <v>50.6</v>
      </c>
      <c r="BC9" s="59">
        <v>-1.6</v>
      </c>
      <c r="BD9" s="59">
        <v>-1.6</v>
      </c>
      <c r="BE9" s="9">
        <v>58.6</v>
      </c>
      <c r="BF9" s="9">
        <v>58.6</v>
      </c>
      <c r="BG9" s="59">
        <v>39.1</v>
      </c>
      <c r="BH9" s="59">
        <v>39.1</v>
      </c>
      <c r="BI9" s="59">
        <v>17.2</v>
      </c>
      <c r="BJ9" s="59">
        <v>17.3</v>
      </c>
      <c r="BK9" s="59">
        <v>-17.6</v>
      </c>
      <c r="BL9" s="59">
        <v>-17</v>
      </c>
      <c r="BM9" s="59">
        <v>-41.1</v>
      </c>
      <c r="BN9" s="59">
        <v>-39.8</v>
      </c>
      <c r="BO9" s="11">
        <v>-1.7</v>
      </c>
      <c r="BP9" s="11">
        <v>-0.5</v>
      </c>
      <c r="BQ9" s="59">
        <v>21.4</v>
      </c>
      <c r="BR9" s="59">
        <v>-37</v>
      </c>
      <c r="BS9" s="59">
        <v>54.288</v>
      </c>
      <c r="BT9" s="59">
        <v>1</v>
      </c>
      <c r="BU9" s="59">
        <f t="shared" si="0"/>
        <v>39.687999999999995</v>
      </c>
    </row>
    <row r="10" spans="1:73" ht="12.75">
      <c r="A10" s="340" t="s">
        <v>502</v>
      </c>
      <c r="B10" s="62"/>
      <c r="C10" s="62"/>
      <c r="D10" s="62"/>
      <c r="E10" s="62"/>
      <c r="F10" s="43"/>
      <c r="G10" s="62"/>
      <c r="H10" s="62"/>
      <c r="I10" s="62"/>
      <c r="J10" s="62"/>
      <c r="K10" s="43"/>
      <c r="L10" s="62"/>
      <c r="M10" s="62"/>
      <c r="N10" s="62"/>
      <c r="O10" s="62"/>
      <c r="P10" s="43"/>
      <c r="Q10" s="62"/>
      <c r="R10" s="62"/>
      <c r="S10" s="62"/>
      <c r="T10" s="62"/>
      <c r="U10" s="43"/>
      <c r="V10" s="62"/>
      <c r="W10" s="62"/>
      <c r="X10" s="62"/>
      <c r="Y10" s="62"/>
      <c r="Z10" s="43"/>
      <c r="AA10" s="62"/>
      <c r="AB10" s="62"/>
      <c r="AC10" s="62"/>
      <c r="AD10" s="62"/>
      <c r="AE10" s="43"/>
      <c r="AF10" s="62"/>
      <c r="AG10" s="62"/>
      <c r="AH10" s="62"/>
      <c r="AI10" s="62"/>
      <c r="AJ10" s="43"/>
      <c r="AK10" s="62"/>
      <c r="AL10" s="62"/>
      <c r="AM10" s="62"/>
      <c r="AN10" s="62"/>
      <c r="AO10" s="43"/>
      <c r="AP10" s="62"/>
      <c r="AQ10" s="62"/>
      <c r="AR10" s="59"/>
      <c r="AS10" s="59"/>
      <c r="AT10" s="43"/>
      <c r="AU10" s="59"/>
      <c r="AV10" s="59"/>
      <c r="AW10" s="59"/>
      <c r="AX10" s="59"/>
      <c r="AY10" s="43"/>
      <c r="AZ10" s="353">
        <v>-1.7</v>
      </c>
      <c r="BA10" s="59">
        <v>11.8</v>
      </c>
      <c r="BB10" s="59">
        <v>44.5</v>
      </c>
      <c r="BC10" s="59">
        <v>2.5</v>
      </c>
      <c r="BD10" s="59">
        <v>2.5</v>
      </c>
      <c r="BE10" s="9">
        <v>57.2</v>
      </c>
      <c r="BF10" s="9">
        <v>57.2</v>
      </c>
      <c r="BG10" s="59">
        <v>36.4</v>
      </c>
      <c r="BH10" s="59">
        <v>36.4</v>
      </c>
      <c r="BI10" s="59">
        <v>16.2</v>
      </c>
      <c r="BJ10" s="59">
        <v>16.3</v>
      </c>
      <c r="BK10" s="59">
        <v>-11.6</v>
      </c>
      <c r="BL10" s="59">
        <v>-11</v>
      </c>
      <c r="BM10" s="59">
        <v>-33</v>
      </c>
      <c r="BN10" s="59">
        <v>-31.5</v>
      </c>
      <c r="BO10" s="11">
        <v>8.6</v>
      </c>
      <c r="BP10" s="11">
        <v>10.1</v>
      </c>
      <c r="BQ10" s="59">
        <v>31.9</v>
      </c>
      <c r="BR10" s="59">
        <v>-29.8</v>
      </c>
      <c r="BS10" s="59">
        <v>63.3</v>
      </c>
      <c r="BT10" s="59">
        <v>4.4</v>
      </c>
      <c r="BU10" s="59">
        <f t="shared" si="0"/>
        <v>69.8</v>
      </c>
    </row>
    <row r="11" spans="1:73" ht="12.75">
      <c r="A11" s="340" t="s">
        <v>74</v>
      </c>
      <c r="B11" s="62"/>
      <c r="C11" s="62"/>
      <c r="D11" s="62"/>
      <c r="E11" s="62"/>
      <c r="F11" s="43"/>
      <c r="G11" s="62"/>
      <c r="H11" s="62"/>
      <c r="I11" s="62"/>
      <c r="J11" s="62"/>
      <c r="K11" s="43"/>
      <c r="L11" s="62"/>
      <c r="M11" s="62"/>
      <c r="N11" s="62"/>
      <c r="O11" s="62"/>
      <c r="P11" s="43"/>
      <c r="Q11" s="62"/>
      <c r="R11" s="62"/>
      <c r="S11" s="62"/>
      <c r="T11" s="62"/>
      <c r="U11" s="43"/>
      <c r="V11" s="62"/>
      <c r="W11" s="62"/>
      <c r="X11" s="62"/>
      <c r="Y11" s="62"/>
      <c r="Z11" s="43"/>
      <c r="AA11" s="62"/>
      <c r="AB11" s="62"/>
      <c r="AC11" s="62"/>
      <c r="AD11" s="62"/>
      <c r="AE11" s="43"/>
      <c r="AF11" s="62"/>
      <c r="AG11" s="62"/>
      <c r="AH11" s="62"/>
      <c r="AI11" s="62"/>
      <c r="AJ11" s="43"/>
      <c r="AK11" s="62"/>
      <c r="AL11" s="62"/>
      <c r="AM11" s="62"/>
      <c r="AN11" s="62"/>
      <c r="AO11" s="43"/>
      <c r="AP11" s="62"/>
      <c r="AQ11" s="62"/>
      <c r="AR11" s="59"/>
      <c r="AS11" s="59"/>
      <c r="AT11" s="43"/>
      <c r="AU11" s="59"/>
      <c r="AV11" s="59"/>
      <c r="AW11" s="59"/>
      <c r="AX11" s="59"/>
      <c r="AY11" s="43"/>
      <c r="AZ11" s="353">
        <v>-17.9</v>
      </c>
      <c r="BA11" s="59">
        <v>-17.4</v>
      </c>
      <c r="BB11" s="59">
        <v>0.8999999999999915</v>
      </c>
      <c r="BC11" s="59">
        <v>-19.7</v>
      </c>
      <c r="BD11" s="59">
        <v>-19.7</v>
      </c>
      <c r="BE11" s="9">
        <v>-54.3</v>
      </c>
      <c r="BF11" s="9">
        <v>-54.3</v>
      </c>
      <c r="BG11" s="59">
        <v>-25.8</v>
      </c>
      <c r="BH11" s="59">
        <v>-25.8</v>
      </c>
      <c r="BI11" s="59">
        <v>-2.5</v>
      </c>
      <c r="BJ11" s="59">
        <v>-2.5</v>
      </c>
      <c r="BK11" s="59">
        <v>-8.099999999999994</v>
      </c>
      <c r="BL11" s="59">
        <v>-8.1</v>
      </c>
      <c r="BM11" s="59">
        <v>-10.1</v>
      </c>
      <c r="BN11" s="59">
        <v>-10.2</v>
      </c>
      <c r="BO11" s="11">
        <v>-46.5</v>
      </c>
      <c r="BP11" s="11">
        <v>-46.5</v>
      </c>
      <c r="BQ11" s="59">
        <v>-26.9</v>
      </c>
      <c r="BR11" s="59">
        <v>39.9</v>
      </c>
      <c r="BS11" s="59">
        <v>-23.5</v>
      </c>
      <c r="BT11" s="59">
        <v>11.8</v>
      </c>
      <c r="BU11" s="59">
        <f t="shared" si="0"/>
        <v>1.3000000000000007</v>
      </c>
    </row>
    <row r="12" spans="1:73" ht="12.75">
      <c r="A12" s="463" t="s">
        <v>557</v>
      </c>
      <c r="B12" s="62"/>
      <c r="C12" s="62"/>
      <c r="D12" s="62"/>
      <c r="E12" s="62"/>
      <c r="F12" s="43"/>
      <c r="G12" s="62"/>
      <c r="H12" s="62"/>
      <c r="I12" s="62"/>
      <c r="J12" s="62"/>
      <c r="K12" s="43"/>
      <c r="L12" s="62"/>
      <c r="M12" s="62"/>
      <c r="N12" s="62"/>
      <c r="O12" s="62"/>
      <c r="P12" s="43"/>
      <c r="Q12" s="62"/>
      <c r="R12" s="62"/>
      <c r="S12" s="62"/>
      <c r="T12" s="62"/>
      <c r="U12" s="43"/>
      <c r="V12" s="62"/>
      <c r="W12" s="62"/>
      <c r="X12" s="62"/>
      <c r="Y12" s="62"/>
      <c r="Z12" s="43"/>
      <c r="AA12" s="62"/>
      <c r="AB12" s="62"/>
      <c r="AC12" s="62"/>
      <c r="AD12" s="62"/>
      <c r="AE12" s="43"/>
      <c r="AF12" s="62"/>
      <c r="AG12" s="62"/>
      <c r="AH12" s="62"/>
      <c r="AI12" s="62"/>
      <c r="AJ12" s="43"/>
      <c r="AK12" s="62"/>
      <c r="AL12" s="62"/>
      <c r="AM12" s="62"/>
      <c r="AN12" s="62"/>
      <c r="AO12" s="43"/>
      <c r="AP12" s="62"/>
      <c r="AQ12" s="62"/>
      <c r="AR12" s="59"/>
      <c r="AS12" s="59"/>
      <c r="AT12" s="43"/>
      <c r="AU12" s="59"/>
      <c r="AV12" s="59"/>
      <c r="AW12" s="59"/>
      <c r="AX12" s="59"/>
      <c r="AY12" s="43"/>
      <c r="AZ12" s="353"/>
      <c r="BA12" s="59">
        <v>1.1</v>
      </c>
      <c r="BB12" s="59">
        <v>0</v>
      </c>
      <c r="BC12" s="59">
        <v>0</v>
      </c>
      <c r="BD12" s="59">
        <v>0</v>
      </c>
      <c r="BE12" s="9">
        <v>0</v>
      </c>
      <c r="BF12" s="9">
        <v>0</v>
      </c>
      <c r="BG12" s="59">
        <v>0</v>
      </c>
      <c r="BH12" s="59">
        <v>0</v>
      </c>
      <c r="BI12" s="59">
        <v>5.6</v>
      </c>
      <c r="BJ12" s="59">
        <v>5.6</v>
      </c>
      <c r="BK12" s="59">
        <v>-0.6</v>
      </c>
      <c r="BL12" s="59">
        <v>-0.6</v>
      </c>
      <c r="BM12" s="59">
        <v>-3.4</v>
      </c>
      <c r="BN12" s="59">
        <v>-3.4</v>
      </c>
      <c r="BO12" s="11">
        <v>1.6</v>
      </c>
      <c r="BP12" s="11">
        <v>1.6</v>
      </c>
      <c r="BQ12" s="59">
        <v>-1</v>
      </c>
      <c r="BR12" s="59">
        <v>2.6</v>
      </c>
      <c r="BS12" s="59">
        <v>-1.6</v>
      </c>
      <c r="BT12" s="59">
        <v>0.1</v>
      </c>
      <c r="BU12" s="59">
        <f t="shared" si="0"/>
        <v>0.1</v>
      </c>
    </row>
    <row r="13" spans="1:73" ht="12.75">
      <c r="A13" s="340" t="s">
        <v>503</v>
      </c>
      <c r="B13" s="62"/>
      <c r="C13" s="62"/>
      <c r="D13" s="62"/>
      <c r="E13" s="62"/>
      <c r="F13" s="43"/>
      <c r="G13" s="62"/>
      <c r="H13" s="62"/>
      <c r="I13" s="62"/>
      <c r="J13" s="62"/>
      <c r="K13" s="43"/>
      <c r="L13" s="62"/>
      <c r="M13" s="62"/>
      <c r="N13" s="62"/>
      <c r="O13" s="62"/>
      <c r="P13" s="43"/>
      <c r="Q13" s="62"/>
      <c r="R13" s="62"/>
      <c r="S13" s="62"/>
      <c r="T13" s="62"/>
      <c r="U13" s="43"/>
      <c r="V13" s="62"/>
      <c r="W13" s="62"/>
      <c r="X13" s="62"/>
      <c r="Y13" s="62"/>
      <c r="Z13" s="43"/>
      <c r="AA13" s="62"/>
      <c r="AB13" s="62"/>
      <c r="AC13" s="62"/>
      <c r="AD13" s="62"/>
      <c r="AE13" s="43"/>
      <c r="AF13" s="62"/>
      <c r="AG13" s="62"/>
      <c r="AH13" s="62"/>
      <c r="AI13" s="62"/>
      <c r="AJ13" s="43"/>
      <c r="AK13" s="62"/>
      <c r="AL13" s="62"/>
      <c r="AM13" s="62"/>
      <c r="AN13" s="62"/>
      <c r="AO13" s="43"/>
      <c r="AP13" s="62"/>
      <c r="AQ13" s="62"/>
      <c r="AR13" s="59"/>
      <c r="AS13" s="59"/>
      <c r="AT13" s="43"/>
      <c r="AU13" s="59"/>
      <c r="AV13" s="59"/>
      <c r="AW13" s="59"/>
      <c r="AX13" s="59"/>
      <c r="AY13" s="43"/>
      <c r="AZ13" s="353">
        <v>10.8</v>
      </c>
      <c r="BA13" s="59">
        <v>19.5</v>
      </c>
      <c r="BB13" s="59">
        <v>-20.7</v>
      </c>
      <c r="BC13" s="59">
        <v>8.4</v>
      </c>
      <c r="BD13" s="59">
        <v>8.4</v>
      </c>
      <c r="BE13" s="9">
        <v>18</v>
      </c>
      <c r="BF13" s="9">
        <v>18</v>
      </c>
      <c r="BG13" s="59">
        <v>-17.1</v>
      </c>
      <c r="BH13" s="59">
        <v>-17.1</v>
      </c>
      <c r="BI13" s="59">
        <v>-4</v>
      </c>
      <c r="BJ13" s="59">
        <v>-4</v>
      </c>
      <c r="BK13" s="59">
        <v>18.5</v>
      </c>
      <c r="BL13" s="59">
        <v>18.5</v>
      </c>
      <c r="BM13" s="59">
        <v>17.5</v>
      </c>
      <c r="BN13" s="59">
        <v>17.4</v>
      </c>
      <c r="BO13" s="11">
        <v>14.9</v>
      </c>
      <c r="BP13" s="11">
        <v>14.9</v>
      </c>
      <c r="BQ13" s="59">
        <v>-9</v>
      </c>
      <c r="BR13" s="59">
        <v>6.1</v>
      </c>
      <c r="BS13" s="59">
        <v>-10.1</v>
      </c>
      <c r="BT13" s="59">
        <v>-2.2</v>
      </c>
      <c r="BU13" s="59">
        <f t="shared" si="0"/>
        <v>-15.2</v>
      </c>
    </row>
    <row r="14" spans="1:73" ht="12.75">
      <c r="A14" s="340" t="s">
        <v>509</v>
      </c>
      <c r="B14" s="62"/>
      <c r="C14" s="62"/>
      <c r="D14" s="62"/>
      <c r="E14" s="62"/>
      <c r="F14" s="43"/>
      <c r="G14" s="62"/>
      <c r="H14" s="62"/>
      <c r="I14" s="62"/>
      <c r="J14" s="62"/>
      <c r="K14" s="43"/>
      <c r="L14" s="62"/>
      <c r="M14" s="62"/>
      <c r="N14" s="62"/>
      <c r="O14" s="62"/>
      <c r="P14" s="43"/>
      <c r="Q14" s="62"/>
      <c r="R14" s="62"/>
      <c r="S14" s="62"/>
      <c r="T14" s="62"/>
      <c r="U14" s="43"/>
      <c r="V14" s="62"/>
      <c r="W14" s="62"/>
      <c r="X14" s="62"/>
      <c r="Y14" s="62"/>
      <c r="Z14" s="43"/>
      <c r="AA14" s="62"/>
      <c r="AB14" s="62"/>
      <c r="AC14" s="62"/>
      <c r="AD14" s="62"/>
      <c r="AE14" s="43"/>
      <c r="AF14" s="62"/>
      <c r="AG14" s="62"/>
      <c r="AH14" s="62"/>
      <c r="AI14" s="62"/>
      <c r="AJ14" s="43"/>
      <c r="AK14" s="62"/>
      <c r="AL14" s="62"/>
      <c r="AM14" s="62"/>
      <c r="AN14" s="62"/>
      <c r="AO14" s="43"/>
      <c r="AP14" s="62"/>
      <c r="AQ14" s="62"/>
      <c r="AR14" s="59"/>
      <c r="AS14" s="59"/>
      <c r="AT14" s="43"/>
      <c r="AU14" s="59"/>
      <c r="AV14" s="59"/>
      <c r="AW14" s="59"/>
      <c r="AX14" s="59"/>
      <c r="AY14" s="43"/>
      <c r="AZ14" s="353">
        <v>-8.8</v>
      </c>
      <c r="BA14" s="59">
        <v>15</v>
      </c>
      <c r="BB14" s="59">
        <v>24.7</v>
      </c>
      <c r="BC14" s="59">
        <v>-8.8</v>
      </c>
      <c r="BD14" s="59">
        <v>-8.8</v>
      </c>
      <c r="BE14" s="9">
        <v>20.9</v>
      </c>
      <c r="BF14" s="9">
        <v>20.9</v>
      </c>
      <c r="BG14" s="59">
        <v>-6.5</v>
      </c>
      <c r="BH14" s="59">
        <v>-6.5</v>
      </c>
      <c r="BI14" s="59">
        <v>15.3</v>
      </c>
      <c r="BJ14" s="59">
        <v>15.3</v>
      </c>
      <c r="BK14" s="59">
        <v>-1.8</v>
      </c>
      <c r="BL14" s="59">
        <v>-1.2</v>
      </c>
      <c r="BM14" s="59">
        <v>-29</v>
      </c>
      <c r="BN14" s="59">
        <v>-27.7</v>
      </c>
      <c r="BO14" s="11">
        <v>-21.4</v>
      </c>
      <c r="BP14" s="11">
        <v>-19.9</v>
      </c>
      <c r="BQ14" s="59">
        <v>-5</v>
      </c>
      <c r="BR14" s="59">
        <v>18.8</v>
      </c>
      <c r="BS14" s="59">
        <v>28.1</v>
      </c>
      <c r="BT14" s="59">
        <v>14.1</v>
      </c>
      <c r="BU14" s="59">
        <f t="shared" si="0"/>
        <v>56.00000000000001</v>
      </c>
    </row>
    <row r="15" spans="1:73" ht="12.75">
      <c r="A15" s="340" t="s">
        <v>508</v>
      </c>
      <c r="B15" s="62"/>
      <c r="C15" s="62"/>
      <c r="D15" s="62"/>
      <c r="E15" s="62"/>
      <c r="F15" s="43"/>
      <c r="G15" s="62"/>
      <c r="H15" s="62"/>
      <c r="I15" s="62"/>
      <c r="J15" s="62"/>
      <c r="K15" s="43"/>
      <c r="L15" s="62"/>
      <c r="M15" s="62"/>
      <c r="N15" s="62"/>
      <c r="O15" s="62"/>
      <c r="P15" s="43"/>
      <c r="Q15" s="62"/>
      <c r="R15" s="62"/>
      <c r="S15" s="62"/>
      <c r="T15" s="62"/>
      <c r="U15" s="43"/>
      <c r="V15" s="62"/>
      <c r="W15" s="62"/>
      <c r="X15" s="62"/>
      <c r="Y15" s="62"/>
      <c r="Z15" s="43"/>
      <c r="AA15" s="62"/>
      <c r="AB15" s="62"/>
      <c r="AC15" s="62"/>
      <c r="AD15" s="62"/>
      <c r="AE15" s="43"/>
      <c r="AF15" s="62"/>
      <c r="AG15" s="62"/>
      <c r="AH15" s="62"/>
      <c r="AI15" s="62"/>
      <c r="AJ15" s="43"/>
      <c r="AK15" s="62"/>
      <c r="AL15" s="62"/>
      <c r="AM15" s="62"/>
      <c r="AN15" s="62"/>
      <c r="AO15" s="43"/>
      <c r="AP15" s="62"/>
      <c r="AQ15" s="62"/>
      <c r="AR15" s="59"/>
      <c r="AS15" s="59"/>
      <c r="AT15" s="43"/>
      <c r="AU15" s="59"/>
      <c r="AV15" s="59"/>
      <c r="AW15" s="59"/>
      <c r="AX15" s="59"/>
      <c r="AY15" s="43"/>
      <c r="AZ15" s="353">
        <v>-2.2</v>
      </c>
      <c r="BA15" s="59">
        <v>1.6</v>
      </c>
      <c r="BB15" s="59">
        <v>6.1</v>
      </c>
      <c r="BC15" s="59">
        <v>-4.1</v>
      </c>
      <c r="BD15" s="59">
        <v>-4.1</v>
      </c>
      <c r="BE15" s="9">
        <v>1.4</v>
      </c>
      <c r="BF15" s="9">
        <v>1.4</v>
      </c>
      <c r="BG15" s="59">
        <v>2.7</v>
      </c>
      <c r="BH15" s="59">
        <v>2.7</v>
      </c>
      <c r="BI15" s="59">
        <v>1</v>
      </c>
      <c r="BJ15" s="59">
        <v>1</v>
      </c>
      <c r="BK15" s="59">
        <v>-6</v>
      </c>
      <c r="BL15" s="59">
        <v>-6</v>
      </c>
      <c r="BM15" s="59">
        <v>-8.1</v>
      </c>
      <c r="BN15" s="59">
        <v>-8.3</v>
      </c>
      <c r="BO15" s="11">
        <v>-10.4</v>
      </c>
      <c r="BP15" s="11">
        <v>-10.6</v>
      </c>
      <c r="BQ15" s="59">
        <v>-10.5</v>
      </c>
      <c r="BR15" s="59">
        <v>-7.2</v>
      </c>
      <c r="BS15" s="59">
        <v>-9</v>
      </c>
      <c r="BT15" s="59">
        <v>-3.4</v>
      </c>
      <c r="BU15" s="59">
        <f t="shared" si="0"/>
        <v>-30.099999999999998</v>
      </c>
    </row>
    <row r="16" spans="1:73" s="24" customFormat="1" ht="12.75">
      <c r="A16" s="29" t="s">
        <v>507</v>
      </c>
      <c r="B16" s="66">
        <v>3.7</v>
      </c>
      <c r="C16" s="66">
        <v>4.5</v>
      </c>
      <c r="D16" s="66">
        <v>4.9</v>
      </c>
      <c r="E16" s="66">
        <v>9.1</v>
      </c>
      <c r="F16" s="67">
        <v>22.2</v>
      </c>
      <c r="G16" s="66">
        <v>1.3</v>
      </c>
      <c r="H16" s="66">
        <v>2.8</v>
      </c>
      <c r="I16" s="66">
        <v>4.1</v>
      </c>
      <c r="J16" s="66">
        <v>13.8</v>
      </c>
      <c r="K16" s="67">
        <v>22</v>
      </c>
      <c r="L16" s="66">
        <v>3.1</v>
      </c>
      <c r="M16" s="66">
        <v>11.8</v>
      </c>
      <c r="N16" s="66">
        <v>15</v>
      </c>
      <c r="O16" s="66">
        <v>47.5</v>
      </c>
      <c r="P16" s="67">
        <v>77.4</v>
      </c>
      <c r="Q16" s="66">
        <v>7.5</v>
      </c>
      <c r="R16" s="66">
        <v>13.3</v>
      </c>
      <c r="S16" s="66">
        <v>30.2</v>
      </c>
      <c r="T16" s="66">
        <v>28</v>
      </c>
      <c r="U16" s="67">
        <v>79</v>
      </c>
      <c r="V16" s="66">
        <v>27.8</v>
      </c>
      <c r="W16" s="66">
        <v>25.8</v>
      </c>
      <c r="X16" s="66">
        <v>12.3</v>
      </c>
      <c r="Y16" s="66">
        <v>26.4</v>
      </c>
      <c r="Z16" s="67">
        <v>92.3</v>
      </c>
      <c r="AA16" s="66">
        <v>5.7</v>
      </c>
      <c r="AB16" s="66">
        <v>11.5</v>
      </c>
      <c r="AC16" s="66">
        <v>18.4</v>
      </c>
      <c r="AD16" s="66">
        <v>38.6</v>
      </c>
      <c r="AE16" s="67">
        <v>74.2</v>
      </c>
      <c r="AF16" s="66">
        <v>8.8</v>
      </c>
      <c r="AG16" s="66">
        <v>12.7</v>
      </c>
      <c r="AH16" s="66">
        <v>10.9</v>
      </c>
      <c r="AI16" s="66">
        <v>174</v>
      </c>
      <c r="AJ16" s="67">
        <v>206.4</v>
      </c>
      <c r="AK16" s="66">
        <v>10.8</v>
      </c>
      <c r="AL16" s="66">
        <v>30.3</v>
      </c>
      <c r="AM16" s="66">
        <v>24.8</v>
      </c>
      <c r="AN16" s="66">
        <f>47.1+6.4</f>
        <v>53.5</v>
      </c>
      <c r="AO16" s="67">
        <v>119.4</v>
      </c>
      <c r="AP16" s="66">
        <v>11.9</v>
      </c>
      <c r="AQ16" s="66">
        <v>23.6</v>
      </c>
      <c r="AR16" s="66">
        <v>27.7</v>
      </c>
      <c r="AS16" s="60">
        <f>+AT16-AP16-AQ16-AR16</f>
        <v>44.7</v>
      </c>
      <c r="AT16" s="67">
        <v>107.9</v>
      </c>
      <c r="AU16" s="66">
        <v>17.4</v>
      </c>
      <c r="AV16" s="66">
        <v>33.1</v>
      </c>
      <c r="AW16" s="66">
        <v>17.4</v>
      </c>
      <c r="AX16" s="66">
        <v>34.5</v>
      </c>
      <c r="AY16" s="67">
        <v>102.4</v>
      </c>
      <c r="AZ16" s="443">
        <v>19.9</v>
      </c>
      <c r="BA16" s="66">
        <v>39.5</v>
      </c>
      <c r="BB16" s="66">
        <v>21.8</v>
      </c>
      <c r="BC16" s="66">
        <v>42</v>
      </c>
      <c r="BD16" s="66">
        <f>+BC16</f>
        <v>42</v>
      </c>
      <c r="BE16" s="11">
        <v>123.2</v>
      </c>
      <c r="BF16" s="11">
        <v>123.2</v>
      </c>
      <c r="BG16" s="60">
        <v>16.5</v>
      </c>
      <c r="BH16" s="60">
        <v>16.5</v>
      </c>
      <c r="BI16" s="60">
        <v>14.8</v>
      </c>
      <c r="BJ16" s="60">
        <v>14.9</v>
      </c>
      <c r="BK16" s="60">
        <v>32.2</v>
      </c>
      <c r="BL16" s="60">
        <v>32.2</v>
      </c>
      <c r="BM16" s="60">
        <v>47.4</v>
      </c>
      <c r="BN16" s="60">
        <v>47.2</v>
      </c>
      <c r="BO16" s="11">
        <v>110.9</v>
      </c>
      <c r="BP16" s="11">
        <v>110.7</v>
      </c>
      <c r="BQ16" s="60">
        <v>15.4</v>
      </c>
      <c r="BR16" s="60">
        <v>33.9</v>
      </c>
      <c r="BS16" s="60">
        <v>22.6</v>
      </c>
      <c r="BT16" s="60">
        <v>61.2</v>
      </c>
      <c r="BU16" s="60">
        <f t="shared" si="0"/>
        <v>133.10000000000002</v>
      </c>
    </row>
    <row r="17" spans="1:68" ht="12.75">
      <c r="A17" s="26"/>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3"/>
      <c r="AT17" s="235"/>
      <c r="AU17" s="235"/>
      <c r="AV17" s="235"/>
      <c r="AW17" s="235"/>
      <c r="AX17" s="235"/>
      <c r="AY17" s="235"/>
      <c r="AZ17" s="479"/>
      <c r="BA17" s="235"/>
      <c r="BB17" s="235"/>
      <c r="BC17" s="235"/>
      <c r="BD17" s="235"/>
      <c r="BE17" s="235"/>
      <c r="BF17" s="235"/>
      <c r="BG17" s="235"/>
      <c r="BH17" s="235"/>
      <c r="BI17" s="235"/>
      <c r="BJ17" s="235"/>
      <c r="BK17" s="235"/>
      <c r="BL17" s="235"/>
      <c r="BM17" s="235"/>
      <c r="BN17" s="235"/>
      <c r="BO17" s="235"/>
      <c r="BP17" s="235"/>
    </row>
    <row r="18" spans="1:68" ht="12.75">
      <c r="A18" s="30"/>
      <c r="B18" s="7" t="s">
        <v>2</v>
      </c>
      <c r="C18" s="7" t="s">
        <v>3</v>
      </c>
      <c r="D18" s="7" t="s">
        <v>4</v>
      </c>
      <c r="E18" s="7" t="s">
        <v>5</v>
      </c>
      <c r="F18" s="7" t="s">
        <v>6</v>
      </c>
      <c r="G18" s="7" t="s">
        <v>12</v>
      </c>
      <c r="H18" s="7" t="s">
        <v>13</v>
      </c>
      <c r="I18" s="7" t="s">
        <v>14</v>
      </c>
      <c r="J18" s="7" t="s">
        <v>15</v>
      </c>
      <c r="K18" s="7" t="s">
        <v>16</v>
      </c>
      <c r="L18" s="7" t="s">
        <v>17</v>
      </c>
      <c r="M18" s="7" t="s">
        <v>18</v>
      </c>
      <c r="N18" s="7" t="s">
        <v>19</v>
      </c>
      <c r="O18" s="7" t="s">
        <v>20</v>
      </c>
      <c r="P18" s="7" t="s">
        <v>21</v>
      </c>
      <c r="Q18" s="7" t="s">
        <v>22</v>
      </c>
      <c r="R18" s="7" t="s">
        <v>23</v>
      </c>
      <c r="S18" s="7" t="s">
        <v>24</v>
      </c>
      <c r="T18" s="7" t="s">
        <v>25</v>
      </c>
      <c r="U18" s="7" t="s">
        <v>26</v>
      </c>
      <c r="V18" s="37" t="s">
        <v>27</v>
      </c>
      <c r="W18" s="37" t="s">
        <v>28</v>
      </c>
      <c r="X18" s="37" t="s">
        <v>29</v>
      </c>
      <c r="Y18" s="37" t="s">
        <v>30</v>
      </c>
      <c r="Z18" s="37" t="s">
        <v>31</v>
      </c>
      <c r="AA18" s="37" t="s">
        <v>32</v>
      </c>
      <c r="AB18" s="37" t="s">
        <v>33</v>
      </c>
      <c r="AC18" s="37" t="s">
        <v>34</v>
      </c>
      <c r="AD18" s="37" t="s">
        <v>271</v>
      </c>
      <c r="AE18" s="37" t="s">
        <v>272</v>
      </c>
      <c r="AF18" s="37" t="s">
        <v>274</v>
      </c>
      <c r="AG18" s="37" t="s">
        <v>276</v>
      </c>
      <c r="AH18" s="37" t="s">
        <v>278</v>
      </c>
      <c r="AI18" s="38" t="s">
        <v>280</v>
      </c>
      <c r="AJ18" s="38" t="s">
        <v>281</v>
      </c>
      <c r="AK18" s="37" t="s">
        <v>289</v>
      </c>
      <c r="AL18" s="37" t="s">
        <v>290</v>
      </c>
      <c r="AM18" s="37" t="s">
        <v>291</v>
      </c>
      <c r="AN18" s="38" t="s">
        <v>292</v>
      </c>
      <c r="AO18" s="38" t="s">
        <v>293</v>
      </c>
      <c r="AP18" s="37" t="s">
        <v>329</v>
      </c>
      <c r="AQ18" s="37" t="s">
        <v>330</v>
      </c>
      <c r="AR18" s="37" t="s">
        <v>331</v>
      </c>
      <c r="AS18" s="38" t="s">
        <v>332</v>
      </c>
      <c r="AT18" s="38" t="s">
        <v>333</v>
      </c>
      <c r="AU18" s="37" t="s">
        <v>448</v>
      </c>
      <c r="AV18" s="37" t="s">
        <v>451</v>
      </c>
      <c r="AW18" s="37" t="s">
        <v>453</v>
      </c>
      <c r="AX18" s="37"/>
      <c r="AY18" s="38"/>
      <c r="AZ18" s="345"/>
      <c r="BA18" s="37"/>
      <c r="BB18" s="37"/>
      <c r="BC18" s="37"/>
      <c r="BD18" s="37"/>
      <c r="BE18" s="37"/>
      <c r="BF18" s="37"/>
      <c r="BG18" s="37"/>
      <c r="BH18" s="37"/>
      <c r="BI18" s="37"/>
      <c r="BJ18" s="37"/>
      <c r="BK18" s="37"/>
      <c r="BL18" s="37"/>
      <c r="BM18" s="37"/>
      <c r="BN18" s="37"/>
      <c r="BO18" s="37"/>
      <c r="BP18" s="37"/>
    </row>
    <row r="19" spans="1:73" ht="12.75">
      <c r="A19" s="98" t="s">
        <v>581</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35"/>
      <c r="AS19" s="3"/>
      <c r="AT19" s="235"/>
      <c r="AU19" s="235"/>
      <c r="AV19" s="235"/>
      <c r="AW19" s="235"/>
      <c r="AX19" s="235"/>
      <c r="AY19" s="235"/>
      <c r="AZ19" s="479"/>
      <c r="BA19" s="235"/>
      <c r="BB19" s="235"/>
      <c r="BC19" s="235"/>
      <c r="BD19" s="235"/>
      <c r="BE19" s="235"/>
      <c r="BF19" s="235"/>
      <c r="BG19" s="235"/>
      <c r="BH19" s="235"/>
      <c r="BI19" s="235"/>
      <c r="BJ19" s="235"/>
      <c r="BK19" s="235"/>
      <c r="BL19" s="235"/>
      <c r="BM19" s="235"/>
      <c r="BN19" s="235"/>
      <c r="BO19" s="235"/>
      <c r="BP19" s="235"/>
      <c r="BQ19" s="235"/>
      <c r="BR19" s="235"/>
      <c r="BS19" s="235"/>
      <c r="BT19" s="235"/>
      <c r="BU19" s="235"/>
    </row>
    <row r="20" spans="1:73" ht="12.75">
      <c r="A20" s="29" t="s">
        <v>8</v>
      </c>
      <c r="B20" s="62"/>
      <c r="C20" s="62"/>
      <c r="D20" s="62"/>
      <c r="E20" s="62"/>
      <c r="F20" s="235"/>
      <c r="G20" s="62"/>
      <c r="H20" s="62"/>
      <c r="I20" s="62"/>
      <c r="J20" s="62"/>
      <c r="K20" s="235"/>
      <c r="L20" s="62"/>
      <c r="M20" s="62"/>
      <c r="N20" s="62"/>
      <c r="O20" s="62"/>
      <c r="P20" s="235"/>
      <c r="Q20" s="62"/>
      <c r="R20" s="62"/>
      <c r="S20" s="62"/>
      <c r="T20" s="62"/>
      <c r="U20" s="23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row>
    <row r="21" spans="1:73" ht="12.75">
      <c r="A21" s="513" t="s">
        <v>618</v>
      </c>
      <c r="B21" s="62"/>
      <c r="C21" s="62"/>
      <c r="D21" s="62"/>
      <c r="E21" s="62"/>
      <c r="F21" s="235"/>
      <c r="G21" s="62"/>
      <c r="H21" s="62"/>
      <c r="I21" s="62"/>
      <c r="J21" s="62"/>
      <c r="K21" s="235"/>
      <c r="L21" s="62"/>
      <c r="M21" s="62"/>
      <c r="N21" s="62"/>
      <c r="O21" s="62"/>
      <c r="P21" s="235"/>
      <c r="Q21" s="62"/>
      <c r="R21" s="62"/>
      <c r="S21" s="62"/>
      <c r="T21" s="62"/>
      <c r="U21" s="23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row>
    <row r="22" spans="1:73" ht="12.75">
      <c r="A22" s="29" t="s">
        <v>35</v>
      </c>
      <c r="B22" s="62"/>
      <c r="C22" s="62"/>
      <c r="D22" s="62"/>
      <c r="E22" s="62"/>
      <c r="F22" s="235"/>
      <c r="G22" s="62"/>
      <c r="H22" s="62"/>
      <c r="I22" s="62"/>
      <c r="J22" s="62"/>
      <c r="K22" s="235"/>
      <c r="L22" s="62"/>
      <c r="M22" s="62"/>
      <c r="N22" s="62"/>
      <c r="O22" s="62"/>
      <c r="P22" s="235"/>
      <c r="Q22" s="62"/>
      <c r="R22" s="62"/>
      <c r="S22" s="62"/>
      <c r="T22" s="62"/>
      <c r="U22" s="23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row>
    <row r="23" spans="1:73" ht="12.75">
      <c r="A23" s="513" t="s">
        <v>509</v>
      </c>
      <c r="B23" s="62"/>
      <c r="C23" s="62"/>
      <c r="D23" s="62"/>
      <c r="E23" s="62"/>
      <c r="F23" s="235"/>
      <c r="G23" s="62"/>
      <c r="H23" s="62"/>
      <c r="I23" s="62"/>
      <c r="J23" s="62"/>
      <c r="K23" s="235"/>
      <c r="L23" s="62"/>
      <c r="M23" s="62"/>
      <c r="N23" s="62"/>
      <c r="O23" s="62"/>
      <c r="P23" s="235"/>
      <c r="Q23" s="62"/>
      <c r="R23" s="62"/>
      <c r="S23" s="62"/>
      <c r="T23" s="62"/>
      <c r="U23" s="23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row>
    <row r="24" spans="1:68" ht="12.75">
      <c r="A24" s="26"/>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3"/>
      <c r="AT24" s="235"/>
      <c r="AU24" s="235"/>
      <c r="AV24" s="235"/>
      <c r="AW24" s="235"/>
      <c r="AX24" s="235"/>
      <c r="AY24" s="235"/>
      <c r="AZ24" s="479"/>
      <c r="BA24" s="235"/>
      <c r="BB24" s="235"/>
      <c r="BC24" s="235"/>
      <c r="BD24" s="235"/>
      <c r="BE24" s="235"/>
      <c r="BF24" s="235"/>
      <c r="BG24" s="235"/>
      <c r="BH24" s="235"/>
      <c r="BI24" s="235"/>
      <c r="BJ24" s="235"/>
      <c r="BK24" s="235"/>
      <c r="BL24" s="235"/>
      <c r="BM24" s="235"/>
      <c r="BN24" s="235"/>
      <c r="BO24" s="235"/>
      <c r="BP24" s="235"/>
    </row>
    <row r="25" spans="1:68" ht="12.75">
      <c r="A25" s="26"/>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3"/>
      <c r="AT25" s="235"/>
      <c r="AU25" s="235"/>
      <c r="AV25" s="235"/>
      <c r="AW25" s="235"/>
      <c r="AX25" s="235"/>
      <c r="AY25" s="235"/>
      <c r="AZ25" s="479"/>
      <c r="BA25" s="235"/>
      <c r="BB25" s="235"/>
      <c r="BC25" s="235"/>
      <c r="BD25" s="235"/>
      <c r="BE25" s="235"/>
      <c r="BF25" s="235"/>
      <c r="BG25" s="235"/>
      <c r="BH25" s="235"/>
      <c r="BI25" s="235"/>
      <c r="BJ25" s="235"/>
      <c r="BK25" s="235"/>
      <c r="BL25" s="235"/>
      <c r="BM25" s="235"/>
      <c r="BN25" s="235"/>
      <c r="BO25" s="235"/>
      <c r="BP25" s="235"/>
    </row>
    <row r="26" spans="1:68" ht="12.75">
      <c r="A26" s="30"/>
      <c r="B26" s="7" t="s">
        <v>2</v>
      </c>
      <c r="C26" s="7" t="s">
        <v>3</v>
      </c>
      <c r="D26" s="7" t="s">
        <v>4</v>
      </c>
      <c r="E26" s="7" t="s">
        <v>5</v>
      </c>
      <c r="F26" s="7" t="s">
        <v>6</v>
      </c>
      <c r="G26" s="7" t="s">
        <v>12</v>
      </c>
      <c r="H26" s="7" t="s">
        <v>13</v>
      </c>
      <c r="I26" s="7" t="s">
        <v>14</v>
      </c>
      <c r="J26" s="7" t="s">
        <v>15</v>
      </c>
      <c r="K26" s="7" t="s">
        <v>16</v>
      </c>
      <c r="L26" s="7" t="s">
        <v>17</v>
      </c>
      <c r="M26" s="7" t="s">
        <v>18</v>
      </c>
      <c r="N26" s="7" t="s">
        <v>19</v>
      </c>
      <c r="O26" s="7" t="s">
        <v>20</v>
      </c>
      <c r="P26" s="7" t="s">
        <v>21</v>
      </c>
      <c r="Q26" s="7" t="s">
        <v>22</v>
      </c>
      <c r="R26" s="7" t="s">
        <v>23</v>
      </c>
      <c r="S26" s="7" t="s">
        <v>24</v>
      </c>
      <c r="T26" s="7" t="s">
        <v>25</v>
      </c>
      <c r="U26" s="7" t="s">
        <v>26</v>
      </c>
      <c r="V26" s="37"/>
      <c r="W26" s="37"/>
      <c r="X26" s="37"/>
      <c r="Y26" s="37"/>
      <c r="Z26" s="37"/>
      <c r="AA26" s="37"/>
      <c r="AB26" s="37"/>
      <c r="AC26" s="37"/>
      <c r="AD26" s="37"/>
      <c r="AE26" s="37"/>
      <c r="AF26" s="37"/>
      <c r="AG26" s="37"/>
      <c r="AH26" s="37"/>
      <c r="AI26" s="38"/>
      <c r="AJ26" s="38"/>
      <c r="AK26" s="37"/>
      <c r="AL26" s="37"/>
      <c r="AM26" s="37"/>
      <c r="AN26" s="38"/>
      <c r="AO26" s="38"/>
      <c r="AP26" s="37"/>
      <c r="AQ26" s="37"/>
      <c r="AR26" s="37"/>
      <c r="AS26" s="38"/>
      <c r="AT26" s="38"/>
      <c r="AU26" s="37"/>
      <c r="AV26" s="37"/>
      <c r="AW26" s="37"/>
      <c r="AX26" s="37"/>
      <c r="AY26" s="38"/>
      <c r="AZ26" s="345"/>
      <c r="BA26" s="37"/>
      <c r="BB26" s="37"/>
      <c r="BC26" s="37"/>
      <c r="BD26" s="37"/>
      <c r="BE26" s="37"/>
      <c r="BF26" s="37"/>
      <c r="BG26" s="37"/>
      <c r="BH26" s="37"/>
      <c r="BI26" s="37"/>
      <c r="BJ26" s="37"/>
      <c r="BK26" s="37"/>
      <c r="BL26" s="37"/>
      <c r="BM26" s="37"/>
      <c r="BN26" s="37"/>
      <c r="BO26" s="37"/>
      <c r="BP26" s="37"/>
    </row>
    <row r="27" spans="1:73" ht="12.75">
      <c r="A27" s="98" t="s">
        <v>580</v>
      </c>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3"/>
      <c r="AT27" s="235"/>
      <c r="AU27" s="235"/>
      <c r="AV27" s="235"/>
      <c r="AW27" s="235"/>
      <c r="AX27" s="37"/>
      <c r="AY27" s="38"/>
      <c r="AZ27" s="479"/>
      <c r="BA27" s="235"/>
      <c r="BB27" s="235"/>
      <c r="BC27" s="235"/>
      <c r="BD27" s="235"/>
      <c r="BE27" s="235"/>
      <c r="BF27" s="235"/>
      <c r="BG27" s="235"/>
      <c r="BH27" s="235"/>
      <c r="BI27" s="235"/>
      <c r="BJ27" s="235"/>
      <c r="BK27" s="235"/>
      <c r="BL27" s="235"/>
      <c r="BM27" s="235"/>
      <c r="BN27" s="235"/>
      <c r="BO27" s="235"/>
      <c r="BP27" s="235"/>
      <c r="BQ27" s="235"/>
      <c r="BR27" s="235"/>
      <c r="BS27" s="235"/>
      <c r="BT27" s="235"/>
      <c r="BU27" s="235"/>
    </row>
    <row r="28" spans="1:73" ht="12.75">
      <c r="A28" s="29" t="s">
        <v>8</v>
      </c>
      <c r="B28" s="62"/>
      <c r="C28" s="62"/>
      <c r="D28" s="62"/>
      <c r="E28" s="62"/>
      <c r="F28" s="235"/>
      <c r="G28" s="62"/>
      <c r="H28" s="62"/>
      <c r="I28" s="62"/>
      <c r="J28" s="62"/>
      <c r="K28" s="235"/>
      <c r="L28" s="62"/>
      <c r="M28" s="62"/>
      <c r="N28" s="62"/>
      <c r="O28" s="62"/>
      <c r="P28" s="235"/>
      <c r="Q28" s="62"/>
      <c r="R28" s="62"/>
      <c r="S28" s="62"/>
      <c r="T28" s="62"/>
      <c r="U28" s="23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row>
    <row r="29" spans="1:73" ht="12.75">
      <c r="A29" s="29" t="s">
        <v>35</v>
      </c>
      <c r="B29" s="62"/>
      <c r="C29" s="62"/>
      <c r="D29" s="62"/>
      <c r="E29" s="62"/>
      <c r="F29" s="235"/>
      <c r="G29" s="62"/>
      <c r="H29" s="62"/>
      <c r="I29" s="62"/>
      <c r="J29" s="62"/>
      <c r="K29" s="235"/>
      <c r="L29" s="62"/>
      <c r="M29" s="62"/>
      <c r="N29" s="62"/>
      <c r="O29" s="62"/>
      <c r="P29" s="235"/>
      <c r="Q29" s="62"/>
      <c r="R29" s="62"/>
      <c r="S29" s="62"/>
      <c r="T29" s="62"/>
      <c r="U29" s="23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row>
    <row r="30" spans="1:73" ht="12.75">
      <c r="A30" s="29" t="s">
        <v>509</v>
      </c>
      <c r="B30" s="62"/>
      <c r="C30" s="62"/>
      <c r="D30" s="62"/>
      <c r="E30" s="62"/>
      <c r="F30" s="235"/>
      <c r="G30" s="62"/>
      <c r="H30" s="62"/>
      <c r="I30" s="62"/>
      <c r="J30" s="62"/>
      <c r="K30" s="235"/>
      <c r="L30" s="62"/>
      <c r="M30" s="62"/>
      <c r="N30" s="62"/>
      <c r="O30" s="62"/>
      <c r="P30" s="235"/>
      <c r="Q30" s="62"/>
      <c r="R30" s="62"/>
      <c r="S30" s="62"/>
      <c r="T30" s="62"/>
      <c r="U30" s="23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row>
    <row r="31" spans="1:73" ht="12.75">
      <c r="A31" s="26"/>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3"/>
      <c r="AT31" s="235"/>
      <c r="AU31" s="235"/>
      <c r="AV31" s="235"/>
      <c r="AW31" s="235"/>
      <c r="AX31" s="235"/>
      <c r="AY31" s="235"/>
      <c r="AZ31" s="479"/>
      <c r="BA31" s="235"/>
      <c r="BB31" s="235"/>
      <c r="BC31" s="235"/>
      <c r="BD31" s="235"/>
      <c r="BE31" s="235"/>
      <c r="BF31" s="235"/>
      <c r="BG31" s="235"/>
      <c r="BH31" s="235"/>
      <c r="BI31" s="235"/>
      <c r="BJ31" s="235"/>
      <c r="BK31" s="235"/>
      <c r="BL31" s="235"/>
      <c r="BM31" s="235"/>
      <c r="BN31" s="235"/>
      <c r="BO31" s="235"/>
      <c r="BP31" s="235"/>
      <c r="BQ31" s="235"/>
      <c r="BR31" s="235"/>
      <c r="BS31" s="235"/>
      <c r="BT31" s="235"/>
      <c r="BU31" s="235"/>
    </row>
    <row r="32" spans="1:68" ht="12.75">
      <c r="A32" s="26"/>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3"/>
      <c r="AT32" s="235"/>
      <c r="AU32" s="235"/>
      <c r="AV32" s="235"/>
      <c r="AW32" s="235"/>
      <c r="AX32" s="235"/>
      <c r="AY32" s="235"/>
      <c r="AZ32" s="479"/>
      <c r="BA32" s="235"/>
      <c r="BB32" s="235"/>
      <c r="BC32" s="235"/>
      <c r="BD32" s="235"/>
      <c r="BE32" s="235"/>
      <c r="BF32" s="235"/>
      <c r="BG32" s="235"/>
      <c r="BH32" s="235"/>
      <c r="BI32" s="235"/>
      <c r="BJ32" s="235"/>
      <c r="BK32" s="235"/>
      <c r="BL32" s="235"/>
      <c r="BM32" s="235"/>
      <c r="BN32" s="235"/>
      <c r="BO32" s="235"/>
      <c r="BP32" s="235"/>
    </row>
    <row r="33" spans="1:68" ht="12.75">
      <c r="A33" s="26"/>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3"/>
      <c r="AT33" s="235"/>
      <c r="AU33" s="235"/>
      <c r="AV33" s="235"/>
      <c r="AW33" s="235"/>
      <c r="AX33" s="235"/>
      <c r="AY33" s="235"/>
      <c r="AZ33" s="479"/>
      <c r="BA33" s="235"/>
      <c r="BB33" s="235"/>
      <c r="BC33" s="235"/>
      <c r="BD33" s="235"/>
      <c r="BE33" s="235"/>
      <c r="BF33" s="235"/>
      <c r="BG33" s="235"/>
      <c r="BH33" s="235"/>
      <c r="BI33" s="235"/>
      <c r="BJ33" s="235"/>
      <c r="BK33" s="235"/>
      <c r="BL33" s="235"/>
      <c r="BM33" s="235"/>
      <c r="BN33" s="235"/>
      <c r="BO33" s="235"/>
      <c r="BP33" s="235"/>
    </row>
    <row r="34" spans="1:68" ht="12.75">
      <c r="A34" s="3"/>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3"/>
      <c r="AT34" s="235"/>
      <c r="AU34" s="235"/>
      <c r="AV34" s="235"/>
      <c r="AW34" s="235"/>
      <c r="AX34" s="235"/>
      <c r="AY34" s="235"/>
      <c r="AZ34" s="479"/>
      <c r="BA34" s="235"/>
      <c r="BB34" s="235"/>
      <c r="BC34" s="235"/>
      <c r="BD34" s="235"/>
      <c r="BE34" s="235"/>
      <c r="BF34" s="235"/>
      <c r="BG34" s="235"/>
      <c r="BH34" s="235"/>
      <c r="BI34" s="235"/>
      <c r="BJ34" s="235"/>
      <c r="BK34" s="235"/>
      <c r="BL34" s="235"/>
      <c r="BM34" s="235"/>
      <c r="BN34" s="235"/>
      <c r="BO34" s="235"/>
      <c r="BP34" s="235"/>
    </row>
    <row r="35" spans="1:68" ht="12.75">
      <c r="A35" s="3" t="s">
        <v>523</v>
      </c>
      <c r="B35" s="62"/>
      <c r="C35" s="62"/>
      <c r="D35" s="62"/>
      <c r="E35" s="62"/>
      <c r="F35" s="43"/>
      <c r="G35" s="62"/>
      <c r="H35" s="62"/>
      <c r="I35" s="62"/>
      <c r="J35" s="62"/>
      <c r="K35" s="43"/>
      <c r="L35" s="62"/>
      <c r="M35" s="62"/>
      <c r="N35" s="62"/>
      <c r="O35" s="62"/>
      <c r="P35" s="43"/>
      <c r="Q35" s="62"/>
      <c r="R35" s="62"/>
      <c r="S35" s="62"/>
      <c r="T35" s="62"/>
      <c r="U35" s="43"/>
      <c r="V35" s="62"/>
      <c r="W35" s="62"/>
      <c r="X35" s="62"/>
      <c r="Y35" s="62"/>
      <c r="Z35" s="43"/>
      <c r="AA35" s="62"/>
      <c r="AB35" s="62"/>
      <c r="AC35" s="62"/>
      <c r="AD35" s="62"/>
      <c r="AE35" s="43"/>
      <c r="AF35" s="62"/>
      <c r="AG35" s="62"/>
      <c r="AH35" s="62"/>
      <c r="AI35" s="62"/>
      <c r="AJ35" s="43"/>
      <c r="AK35" s="62"/>
      <c r="AL35" s="62"/>
      <c r="AM35" s="62"/>
      <c r="AN35" s="62"/>
      <c r="AO35" s="43"/>
      <c r="AP35" s="62"/>
      <c r="AQ35" s="62"/>
      <c r="AR35" s="62"/>
      <c r="AS35" s="59"/>
      <c r="AT35" s="43"/>
      <c r="AU35" s="62"/>
      <c r="AV35" s="62"/>
      <c r="AW35" s="62"/>
      <c r="AX35" s="62"/>
      <c r="AY35" s="235"/>
      <c r="AZ35" s="343"/>
      <c r="BA35" s="62"/>
      <c r="BB35" s="62"/>
      <c r="BC35" s="62"/>
      <c r="BD35" s="62"/>
      <c r="BE35" s="235"/>
      <c r="BF35" s="235"/>
      <c r="BG35" s="62"/>
      <c r="BH35" s="62"/>
      <c r="BI35" s="62"/>
      <c r="BJ35" s="62"/>
      <c r="BK35" s="62"/>
      <c r="BL35" s="62"/>
      <c r="BM35" s="62"/>
      <c r="BN35" s="62"/>
      <c r="BO35" s="62"/>
      <c r="BP35" s="62"/>
    </row>
    <row r="36" ht="12.75">
      <c r="A36" s="4"/>
    </row>
    <row r="37" ht="12.75"/>
    <row r="38" ht="12.75">
      <c r="A38" s="3" t="s">
        <v>504</v>
      </c>
    </row>
    <row r="39" ht="12.75">
      <c r="A39" s="3" t="s">
        <v>505</v>
      </c>
    </row>
    <row r="40" ht="12.75">
      <c r="A40" s="3" t="s">
        <v>506</v>
      </c>
    </row>
    <row r="41" spans="1:68" ht="12.75">
      <c r="A41" s="30"/>
      <c r="B41" s="7" t="s">
        <v>2</v>
      </c>
      <c r="C41" s="7" t="s">
        <v>3</v>
      </c>
      <c r="D41" s="7" t="s">
        <v>4</v>
      </c>
      <c r="E41" s="6" t="s">
        <v>5</v>
      </c>
      <c r="F41" s="6" t="s">
        <v>6</v>
      </c>
      <c r="G41" s="7" t="s">
        <v>12</v>
      </c>
      <c r="H41" s="7" t="s">
        <v>13</v>
      </c>
      <c r="I41" s="7" t="s">
        <v>14</v>
      </c>
      <c r="J41" s="6" t="s">
        <v>15</v>
      </c>
      <c r="K41" s="6" t="s">
        <v>16</v>
      </c>
      <c r="L41" s="7" t="s">
        <v>17</v>
      </c>
      <c r="M41" s="7" t="s">
        <v>18</v>
      </c>
      <c r="N41" s="7" t="s">
        <v>19</v>
      </c>
      <c r="O41" s="6" t="s">
        <v>20</v>
      </c>
      <c r="P41" s="6" t="s">
        <v>21</v>
      </c>
      <c r="Q41" s="7" t="s">
        <v>22</v>
      </c>
      <c r="R41" s="7" t="s">
        <v>23</v>
      </c>
      <c r="S41" s="7" t="s">
        <v>24</v>
      </c>
      <c r="T41" s="6" t="s">
        <v>25</v>
      </c>
      <c r="U41" s="6" t="s">
        <v>26</v>
      </c>
      <c r="V41" s="7" t="s">
        <v>27</v>
      </c>
      <c r="W41" s="7" t="s">
        <v>28</v>
      </c>
      <c r="X41" s="7" t="s">
        <v>29</v>
      </c>
      <c r="Y41" s="6" t="s">
        <v>30</v>
      </c>
      <c r="Z41" s="6" t="s">
        <v>31</v>
      </c>
      <c r="AA41" s="7" t="s">
        <v>32</v>
      </c>
      <c r="AB41" s="7" t="s">
        <v>33</v>
      </c>
      <c r="AC41" s="7" t="s">
        <v>34</v>
      </c>
      <c r="AD41" s="6" t="s">
        <v>271</v>
      </c>
      <c r="AE41" s="6" t="s">
        <v>272</v>
      </c>
      <c r="AF41" s="7" t="s">
        <v>274</v>
      </c>
      <c r="AG41" s="7" t="s">
        <v>276</v>
      </c>
      <c r="AH41" s="7" t="s">
        <v>278</v>
      </c>
      <c r="AI41" s="6" t="s">
        <v>280</v>
      </c>
      <c r="AJ41" s="6" t="s">
        <v>281</v>
      </c>
      <c r="AK41" s="7" t="s">
        <v>289</v>
      </c>
      <c r="AL41" s="7" t="s">
        <v>290</v>
      </c>
      <c r="AM41" s="7" t="s">
        <v>291</v>
      </c>
      <c r="AN41" s="6" t="s">
        <v>292</v>
      </c>
      <c r="AO41" s="6" t="s">
        <v>293</v>
      </c>
      <c r="AP41" s="7" t="s">
        <v>329</v>
      </c>
      <c r="AQ41" s="7" t="s">
        <v>330</v>
      </c>
      <c r="AR41" s="327"/>
      <c r="AS41" s="326"/>
      <c r="AT41" s="326"/>
      <c r="AU41" s="327"/>
      <c r="AV41" s="327"/>
      <c r="AW41" s="327"/>
      <c r="AX41" s="327"/>
      <c r="AY41" s="326"/>
      <c r="AZ41" s="351"/>
      <c r="BA41" s="327"/>
      <c r="BB41" s="327"/>
      <c r="BC41" s="327"/>
      <c r="BD41" s="327"/>
      <c r="BE41" s="326"/>
      <c r="BF41" s="326"/>
      <c r="BG41" s="327"/>
      <c r="BH41" s="327"/>
      <c r="BI41" s="327"/>
      <c r="BJ41" s="327"/>
      <c r="BK41" s="327"/>
      <c r="BL41" s="327"/>
      <c r="BM41" s="327"/>
      <c r="BN41" s="327"/>
      <c r="BO41" s="327"/>
      <c r="BP41" s="327"/>
    </row>
    <row r="42" spans="1:68" ht="12.75">
      <c r="A42" s="45"/>
      <c r="B42" s="37"/>
      <c r="C42" s="37"/>
      <c r="D42" s="37"/>
      <c r="E42" s="38"/>
      <c r="F42" s="38"/>
      <c r="G42" s="37"/>
      <c r="H42" s="37"/>
      <c r="I42" s="37"/>
      <c r="J42" s="38"/>
      <c r="K42" s="38"/>
      <c r="L42" s="37"/>
      <c r="M42" s="37"/>
      <c r="N42" s="37"/>
      <c r="O42" s="38"/>
      <c r="P42" s="38"/>
      <c r="Q42" s="37"/>
      <c r="R42" s="37"/>
      <c r="S42" s="37"/>
      <c r="T42" s="38"/>
      <c r="U42" s="38"/>
      <c r="V42" s="37"/>
      <c r="W42" s="37"/>
      <c r="X42" s="37"/>
      <c r="Y42" s="38"/>
      <c r="Z42" s="38"/>
      <c r="AA42" s="37"/>
      <c r="AB42" s="37"/>
      <c r="AC42" s="37"/>
      <c r="AD42" s="38"/>
      <c r="AE42" s="38"/>
      <c r="AF42" s="37"/>
      <c r="AG42" s="37"/>
      <c r="AH42" s="37"/>
      <c r="AI42" s="38"/>
      <c r="AJ42" s="38"/>
      <c r="AK42" s="37"/>
      <c r="AL42" s="37"/>
      <c r="AM42" s="37"/>
      <c r="AN42" s="38"/>
      <c r="AO42" s="38"/>
      <c r="AP42" s="37"/>
      <c r="AQ42" s="37"/>
      <c r="AR42" s="37"/>
      <c r="AS42" s="38"/>
      <c r="AT42" s="38"/>
      <c r="AU42" s="37"/>
      <c r="AV42" s="37"/>
      <c r="AW42" s="37"/>
      <c r="AX42" s="37"/>
      <c r="AY42" s="38"/>
      <c r="AZ42" s="345"/>
      <c r="BA42" s="37"/>
      <c r="BB42" s="37"/>
      <c r="BC42" s="37"/>
      <c r="BD42" s="37"/>
      <c r="BE42" s="38"/>
      <c r="BF42" s="38"/>
      <c r="BG42" s="37"/>
      <c r="BH42" s="37"/>
      <c r="BI42" s="37"/>
      <c r="BJ42" s="37"/>
      <c r="BK42" s="37"/>
      <c r="BL42" s="37"/>
      <c r="BM42" s="37"/>
      <c r="BN42" s="37"/>
      <c r="BO42" s="37"/>
      <c r="BP42" s="37"/>
    </row>
    <row r="43" spans="1:68" s="24" customFormat="1" ht="12.75">
      <c r="A43" s="46" t="s">
        <v>72</v>
      </c>
      <c r="B43" s="64"/>
      <c r="C43" s="64"/>
      <c r="D43" s="64"/>
      <c r="E43" s="64"/>
      <c r="F43" s="11"/>
      <c r="G43" s="60">
        <v>3.4</v>
      </c>
      <c r="H43" s="60">
        <v>21.1</v>
      </c>
      <c r="I43" s="60">
        <v>11.5</v>
      </c>
      <c r="J43" s="60">
        <v>1.3</v>
      </c>
      <c r="K43" s="11">
        <v>37.4</v>
      </c>
      <c r="L43" s="60">
        <v>13.483</v>
      </c>
      <c r="M43" s="60">
        <v>12.182</v>
      </c>
      <c r="N43" s="60">
        <v>21.404</v>
      </c>
      <c r="O43" s="60">
        <v>20.565</v>
      </c>
      <c r="P43" s="11">
        <v>67.634</v>
      </c>
      <c r="Q43" s="60">
        <v>23.6</v>
      </c>
      <c r="R43" s="60">
        <v>32.2</v>
      </c>
      <c r="S43" s="60">
        <v>59</v>
      </c>
      <c r="T43" s="60">
        <v>44</v>
      </c>
      <c r="U43" s="11">
        <v>158.9</v>
      </c>
      <c r="V43" s="60">
        <v>37.7</v>
      </c>
      <c r="W43" s="60">
        <v>50.2</v>
      </c>
      <c r="X43" s="60">
        <v>50.7</v>
      </c>
      <c r="Y43" s="60">
        <v>38.4</v>
      </c>
      <c r="Z43" s="11">
        <v>177</v>
      </c>
      <c r="AA43" s="60">
        <v>24.2</v>
      </c>
      <c r="AB43" s="60">
        <v>69.1</v>
      </c>
      <c r="AC43" s="60">
        <v>58.7</v>
      </c>
      <c r="AD43" s="60">
        <v>17</v>
      </c>
      <c r="AE43" s="11">
        <f>+AA43+AB43+AC43+AD43</f>
        <v>169</v>
      </c>
      <c r="AF43" s="60">
        <v>28.4</v>
      </c>
      <c r="AG43" s="60">
        <f>+AG8</f>
        <v>58.5</v>
      </c>
      <c r="AH43" s="60">
        <f>+AH8</f>
        <v>47.2</v>
      </c>
      <c r="AI43" s="60">
        <v>37.8</v>
      </c>
      <c r="AJ43" s="11">
        <v>171.9</v>
      </c>
      <c r="AK43" s="60">
        <v>40.1</v>
      </c>
      <c r="AL43" s="60">
        <v>69</v>
      </c>
      <c r="AM43" s="60">
        <v>4.5</v>
      </c>
      <c r="AN43" s="60">
        <v>-41.1</v>
      </c>
      <c r="AO43" s="11">
        <v>72.5</v>
      </c>
      <c r="AP43" s="60">
        <v>4.7</v>
      </c>
      <c r="AQ43" s="60">
        <v>41.3</v>
      </c>
      <c r="AR43" s="221"/>
      <c r="AS43" s="221"/>
      <c r="AT43" s="221"/>
      <c r="AU43" s="221"/>
      <c r="AV43" s="221"/>
      <c r="AW43" s="221"/>
      <c r="AX43" s="221"/>
      <c r="AY43" s="221"/>
      <c r="AZ43" s="346"/>
      <c r="BA43" s="221"/>
      <c r="BB43" s="221"/>
      <c r="BC43" s="221"/>
      <c r="BD43" s="221"/>
      <c r="BE43" s="221"/>
      <c r="BF43" s="221"/>
      <c r="BG43" s="221"/>
      <c r="BH43" s="221"/>
      <c r="BI43" s="221"/>
      <c r="BJ43" s="221"/>
      <c r="BK43" s="221"/>
      <c r="BL43" s="221"/>
      <c r="BM43" s="221"/>
      <c r="BN43" s="221"/>
      <c r="BO43" s="221"/>
      <c r="BP43" s="221"/>
    </row>
    <row r="44" spans="1:68" ht="12.75">
      <c r="A44" s="47" t="s">
        <v>73</v>
      </c>
      <c r="B44" s="65"/>
      <c r="C44" s="65"/>
      <c r="D44" s="65"/>
      <c r="E44" s="65"/>
      <c r="F44" s="9"/>
      <c r="G44" s="59">
        <v>0</v>
      </c>
      <c r="H44" s="59">
        <v>-1.7</v>
      </c>
      <c r="I44" s="59">
        <v>0</v>
      </c>
      <c r="J44" s="59">
        <v>6.4</v>
      </c>
      <c r="K44" s="9">
        <v>4.7</v>
      </c>
      <c r="L44" s="59">
        <v>0</v>
      </c>
      <c r="M44" s="59">
        <v>0</v>
      </c>
      <c r="N44" s="59">
        <v>4.5</v>
      </c>
      <c r="O44" s="59">
        <v>0</v>
      </c>
      <c r="P44" s="9" t="s">
        <v>234</v>
      </c>
      <c r="Q44" s="59">
        <v>0</v>
      </c>
      <c r="R44" s="59">
        <v>0</v>
      </c>
      <c r="S44" s="59">
        <v>0</v>
      </c>
      <c r="T44" s="59">
        <v>0</v>
      </c>
      <c r="U44" s="9">
        <v>0</v>
      </c>
      <c r="V44" s="59">
        <v>0</v>
      </c>
      <c r="W44" s="59">
        <v>0</v>
      </c>
      <c r="X44" s="59">
        <v>8.6</v>
      </c>
      <c r="Y44" s="59">
        <v>0</v>
      </c>
      <c r="Z44" s="9">
        <v>8.6</v>
      </c>
      <c r="AA44" s="59">
        <v>0</v>
      </c>
      <c r="AB44" s="59">
        <v>0</v>
      </c>
      <c r="AC44" s="59">
        <v>0</v>
      </c>
      <c r="AD44" s="59">
        <v>0</v>
      </c>
      <c r="AE44" s="9">
        <v>0</v>
      </c>
      <c r="AF44" s="59">
        <v>0</v>
      </c>
      <c r="AG44" s="59">
        <v>0</v>
      </c>
      <c r="AH44" s="59">
        <v>0</v>
      </c>
      <c r="AI44" s="59">
        <v>0</v>
      </c>
      <c r="AJ44" s="9">
        <v>0</v>
      </c>
      <c r="AK44" s="59">
        <v>0</v>
      </c>
      <c r="AL44" s="59">
        <v>0</v>
      </c>
      <c r="AM44" s="59">
        <v>0.6</v>
      </c>
      <c r="AN44" s="59">
        <v>-4.6</v>
      </c>
      <c r="AO44" s="9">
        <v>-4</v>
      </c>
      <c r="AP44" s="59">
        <v>0</v>
      </c>
      <c r="AQ44" s="59"/>
      <c r="AR44" s="221"/>
      <c r="AS44" s="221"/>
      <c r="AT44" s="223"/>
      <c r="AU44" s="223"/>
      <c r="AV44" s="223"/>
      <c r="AW44" s="223"/>
      <c r="AX44" s="223"/>
      <c r="AY44" s="223"/>
      <c r="AZ44" s="347"/>
      <c r="BA44" s="223"/>
      <c r="BB44" s="223"/>
      <c r="BC44" s="223"/>
      <c r="BD44" s="223"/>
      <c r="BE44" s="223"/>
      <c r="BF44" s="223"/>
      <c r="BG44" s="223"/>
      <c r="BH44" s="223"/>
      <c r="BI44" s="223"/>
      <c r="BJ44" s="223"/>
      <c r="BK44" s="223"/>
      <c r="BL44" s="223"/>
      <c r="BM44" s="223"/>
      <c r="BN44" s="223"/>
      <c r="BO44" s="223"/>
      <c r="BP44" s="223"/>
    </row>
    <row r="45" spans="1:68" ht="12.75">
      <c r="A45" s="47" t="s">
        <v>233</v>
      </c>
      <c r="B45" s="65"/>
      <c r="C45" s="65"/>
      <c r="D45" s="65"/>
      <c r="E45" s="65"/>
      <c r="F45" s="9"/>
      <c r="G45" s="59">
        <v>7.5</v>
      </c>
      <c r="H45" s="59">
        <v>-0.3</v>
      </c>
      <c r="I45" s="59">
        <v>0.9</v>
      </c>
      <c r="J45" s="59">
        <v>-2.3</v>
      </c>
      <c r="K45" s="9">
        <v>5.8</v>
      </c>
      <c r="L45" s="59">
        <v>0</v>
      </c>
      <c r="M45" s="59">
        <v>0</v>
      </c>
      <c r="N45" s="59">
        <v>0</v>
      </c>
      <c r="O45" s="59">
        <v>0</v>
      </c>
      <c r="P45" s="9">
        <v>0</v>
      </c>
      <c r="Q45" s="59"/>
      <c r="R45" s="59"/>
      <c r="S45" s="59"/>
      <c r="T45" s="59"/>
      <c r="U45" s="9"/>
      <c r="V45" s="59"/>
      <c r="W45" s="59"/>
      <c r="X45" s="59"/>
      <c r="Y45" s="59"/>
      <c r="Z45" s="9"/>
      <c r="AA45" s="59"/>
      <c r="AB45" s="59"/>
      <c r="AC45" s="59"/>
      <c r="AD45" s="59"/>
      <c r="AE45" s="9"/>
      <c r="AF45" s="59"/>
      <c r="AG45" s="59"/>
      <c r="AH45" s="59"/>
      <c r="AI45" s="59"/>
      <c r="AJ45" s="9"/>
      <c r="AK45" s="59"/>
      <c r="AL45" s="59"/>
      <c r="AM45" s="59">
        <v>2.9</v>
      </c>
      <c r="AN45" s="59">
        <v>19.6</v>
      </c>
      <c r="AO45" s="9">
        <v>22.5</v>
      </c>
      <c r="AP45" s="59"/>
      <c r="AQ45" s="59"/>
      <c r="AR45" s="221"/>
      <c r="AS45" s="221"/>
      <c r="AT45" s="223"/>
      <c r="AU45" s="223"/>
      <c r="AV45" s="223"/>
      <c r="AW45" s="223"/>
      <c r="AX45" s="223"/>
      <c r="AY45" s="223"/>
      <c r="AZ45" s="347"/>
      <c r="BA45" s="223"/>
      <c r="BB45" s="223"/>
      <c r="BC45" s="223"/>
      <c r="BD45" s="223"/>
      <c r="BE45" s="223"/>
      <c r="BF45" s="223"/>
      <c r="BG45" s="223"/>
      <c r="BH45" s="223"/>
      <c r="BI45" s="223"/>
      <c r="BJ45" s="223"/>
      <c r="BK45" s="223"/>
      <c r="BL45" s="223"/>
      <c r="BM45" s="223"/>
      <c r="BN45" s="223"/>
      <c r="BO45" s="223"/>
      <c r="BP45" s="223"/>
    </row>
    <row r="46" spans="1:68" ht="12.75">
      <c r="A46" s="47" t="s">
        <v>74</v>
      </c>
      <c r="B46" s="65"/>
      <c r="C46" s="65"/>
      <c r="D46" s="65"/>
      <c r="E46" s="65"/>
      <c r="F46" s="48"/>
      <c r="G46" s="59">
        <v>-3</v>
      </c>
      <c r="H46" s="59">
        <v>-2.8</v>
      </c>
      <c r="I46" s="59">
        <v>-1.8</v>
      </c>
      <c r="J46" s="59">
        <v>4.2</v>
      </c>
      <c r="K46" s="48" t="s">
        <v>254</v>
      </c>
      <c r="L46" s="59">
        <v>-0.7</v>
      </c>
      <c r="M46" s="59">
        <v>8.6</v>
      </c>
      <c r="N46" s="59">
        <v>-2.8</v>
      </c>
      <c r="O46" s="59">
        <v>0.09999999999999992</v>
      </c>
      <c r="P46" s="48">
        <v>5.2</v>
      </c>
      <c r="Q46" s="59">
        <v>-3.1</v>
      </c>
      <c r="R46" s="59">
        <v>-2.6</v>
      </c>
      <c r="S46" s="59">
        <v>-8.6</v>
      </c>
      <c r="T46" s="59">
        <v>5.4</v>
      </c>
      <c r="U46" s="48">
        <v>-8.9</v>
      </c>
      <c r="V46" s="59">
        <v>-13.7</v>
      </c>
      <c r="W46" s="59">
        <v>-14.7</v>
      </c>
      <c r="X46" s="59">
        <v>-12.9</v>
      </c>
      <c r="Y46" s="59">
        <v>2.2</v>
      </c>
      <c r="Z46" s="48">
        <v>-39.1</v>
      </c>
      <c r="AA46" s="59">
        <v>-8.5</v>
      </c>
      <c r="AB46" s="59">
        <v>-14.6</v>
      </c>
      <c r="AC46" s="59">
        <v>1.9</v>
      </c>
      <c r="AD46" s="59">
        <v>14.5</v>
      </c>
      <c r="AE46" s="48">
        <f>-8.5-14.6+1.9+14.5</f>
        <v>-6.700000000000003</v>
      </c>
      <c r="AF46" s="59">
        <v>4.5</v>
      </c>
      <c r="AG46" s="59">
        <v>-13.2</v>
      </c>
      <c r="AH46" s="59">
        <v>-9.4</v>
      </c>
      <c r="AI46" s="59">
        <v>-14</v>
      </c>
      <c r="AJ46" s="48">
        <v>-32.1</v>
      </c>
      <c r="AK46" s="59">
        <v>-7.7</v>
      </c>
      <c r="AL46" s="59">
        <v>-20.4</v>
      </c>
      <c r="AM46" s="59">
        <v>25.9</v>
      </c>
      <c r="AN46" s="59">
        <v>72.1</v>
      </c>
      <c r="AO46" s="48">
        <v>69.9</v>
      </c>
      <c r="AP46" s="59">
        <v>-10.7</v>
      </c>
      <c r="AQ46" s="59">
        <v>-35.8</v>
      </c>
      <c r="AR46" s="221"/>
      <c r="AS46" s="221"/>
      <c r="AT46" s="224"/>
      <c r="AU46" s="224"/>
      <c r="AV46" s="224"/>
      <c r="AW46" s="224"/>
      <c r="AX46" s="224"/>
      <c r="AY46" s="224"/>
      <c r="AZ46" s="348"/>
      <c r="BA46" s="224"/>
      <c r="BB46" s="224"/>
      <c r="BC46" s="224"/>
      <c r="BD46" s="224"/>
      <c r="BE46" s="224"/>
      <c r="BF46" s="224"/>
      <c r="BG46" s="224"/>
      <c r="BH46" s="224"/>
      <c r="BI46" s="224"/>
      <c r="BJ46" s="224"/>
      <c r="BK46" s="224"/>
      <c r="BL46" s="224"/>
      <c r="BM46" s="224"/>
      <c r="BN46" s="224"/>
      <c r="BO46" s="224"/>
      <c r="BP46" s="224"/>
    </row>
    <row r="47" spans="1:68" ht="12.75">
      <c r="A47" s="46" t="s">
        <v>75</v>
      </c>
      <c r="B47" s="64"/>
      <c r="C47" s="64"/>
      <c r="D47" s="64"/>
      <c r="E47" s="64"/>
      <c r="F47" s="49"/>
      <c r="G47" s="60">
        <v>7.9</v>
      </c>
      <c r="H47" s="60">
        <v>16.3</v>
      </c>
      <c r="I47" s="60">
        <v>10.6</v>
      </c>
      <c r="J47" s="60">
        <v>9.6</v>
      </c>
      <c r="K47" s="49" t="s">
        <v>255</v>
      </c>
      <c r="L47" s="60">
        <v>12.783000000000001</v>
      </c>
      <c r="M47" s="60">
        <v>20.782</v>
      </c>
      <c r="N47" s="60">
        <v>23.104</v>
      </c>
      <c r="O47" s="60">
        <v>20.665</v>
      </c>
      <c r="P47" s="49">
        <v>72.834</v>
      </c>
      <c r="Q47" s="60">
        <v>20.5</v>
      </c>
      <c r="R47" s="60">
        <v>29.6</v>
      </c>
      <c r="S47" s="60">
        <v>50.4</v>
      </c>
      <c r="T47" s="60">
        <v>49.4</v>
      </c>
      <c r="U47" s="49">
        <v>150</v>
      </c>
      <c r="V47" s="60">
        <v>24</v>
      </c>
      <c r="W47" s="60">
        <v>35.5</v>
      </c>
      <c r="X47" s="60">
        <v>46.4</v>
      </c>
      <c r="Y47" s="60">
        <v>40.6</v>
      </c>
      <c r="Z47" s="49">
        <v>146.5</v>
      </c>
      <c r="AA47" s="60">
        <v>15.7</v>
      </c>
      <c r="AB47" s="60">
        <v>54.5</v>
      </c>
      <c r="AC47" s="60">
        <v>60.6</v>
      </c>
      <c r="AD47" s="60">
        <f>+AD43+AD46</f>
        <v>31.5</v>
      </c>
      <c r="AE47" s="49">
        <f>+AE43+AE46</f>
        <v>162.3</v>
      </c>
      <c r="AF47" s="60">
        <v>32.9</v>
      </c>
      <c r="AG47" s="60">
        <f>AG43+AG46</f>
        <v>45.3</v>
      </c>
      <c r="AH47" s="60">
        <f>AH43+AH46</f>
        <v>37.800000000000004</v>
      </c>
      <c r="AI47" s="60">
        <v>23.8</v>
      </c>
      <c r="AJ47" s="49">
        <v>139.8</v>
      </c>
      <c r="AK47" s="60">
        <v>32.4</v>
      </c>
      <c r="AL47" s="60">
        <v>48.6</v>
      </c>
      <c r="AM47" s="60">
        <v>33.9</v>
      </c>
      <c r="AN47" s="60">
        <v>46</v>
      </c>
      <c r="AO47" s="49">
        <v>160.9</v>
      </c>
      <c r="AP47" s="60">
        <v>-6</v>
      </c>
      <c r="AQ47" s="60">
        <v>5.5</v>
      </c>
      <c r="AR47" s="221"/>
      <c r="AS47" s="221"/>
      <c r="AT47" s="225"/>
      <c r="AU47" s="225"/>
      <c r="AV47" s="225"/>
      <c r="AW47" s="225"/>
      <c r="AX47" s="225"/>
      <c r="AY47" s="225"/>
      <c r="AZ47" s="349"/>
      <c r="BA47" s="225"/>
      <c r="BB47" s="225"/>
      <c r="BC47" s="225"/>
      <c r="BD47" s="225"/>
      <c r="BE47" s="225"/>
      <c r="BF47" s="225"/>
      <c r="BG47" s="225"/>
      <c r="BH47" s="225"/>
      <c r="BI47" s="225"/>
      <c r="BJ47" s="225"/>
      <c r="BK47" s="225"/>
      <c r="BL47" s="225"/>
      <c r="BM47" s="225"/>
      <c r="BN47" s="225"/>
      <c r="BO47" s="225"/>
      <c r="BP47" s="225"/>
    </row>
    <row r="48" ht="12.75">
      <c r="A48" s="27"/>
    </row>
    <row r="49" spans="1:29" ht="12.75">
      <c r="A49" s="35" t="s">
        <v>235</v>
      </c>
      <c r="G49" s="3"/>
      <c r="H49" s="3"/>
      <c r="I49" s="3"/>
      <c r="J49" s="3"/>
      <c r="K49" s="3"/>
      <c r="L49" s="3"/>
      <c r="M49" s="3"/>
      <c r="N49" s="3"/>
      <c r="O49" s="3"/>
      <c r="P49" s="3"/>
      <c r="Q49" s="3"/>
      <c r="R49" s="3"/>
      <c r="S49" s="3"/>
      <c r="T49" s="3"/>
      <c r="U49" s="3"/>
      <c r="V49" s="3"/>
      <c r="W49" s="3"/>
      <c r="X49" s="3"/>
      <c r="Y49" s="3"/>
      <c r="Z49" s="3"/>
      <c r="AA49" s="3"/>
      <c r="AB49" s="3"/>
      <c r="AC49" s="3"/>
    </row>
    <row r="50" spans="1:29" ht="12.75">
      <c r="A50" s="23" t="s">
        <v>236</v>
      </c>
      <c r="G50" s="3"/>
      <c r="H50" s="3"/>
      <c r="I50" s="3"/>
      <c r="J50" s="3"/>
      <c r="K50" s="3"/>
      <c r="L50" s="3"/>
      <c r="M50" s="3"/>
      <c r="N50" s="3"/>
      <c r="O50" s="3"/>
      <c r="P50" s="3"/>
      <c r="Q50" s="3"/>
      <c r="R50" s="3"/>
      <c r="S50" s="3"/>
      <c r="T50" s="3"/>
      <c r="U50" s="3"/>
      <c r="V50" s="3"/>
      <c r="W50" s="3"/>
      <c r="X50" s="3"/>
      <c r="Y50" s="3"/>
      <c r="Z50" s="3"/>
      <c r="AA50" s="3"/>
      <c r="AB50" s="3"/>
      <c r="AC50" s="3"/>
    </row>
    <row r="51" spans="7:29" ht="12.75">
      <c r="G51" s="3"/>
      <c r="H51" s="3"/>
      <c r="I51" s="3"/>
      <c r="J51" s="3"/>
      <c r="K51" s="3"/>
      <c r="L51" s="3"/>
      <c r="M51" s="3"/>
      <c r="N51" s="3"/>
      <c r="O51" s="3"/>
      <c r="P51" s="3"/>
      <c r="Q51" s="3"/>
      <c r="R51" s="3"/>
      <c r="S51" s="3"/>
      <c r="T51" s="3"/>
      <c r="U51" s="3"/>
      <c r="V51" s="3"/>
      <c r="W51" s="3"/>
      <c r="X51" s="3"/>
      <c r="Y51" s="3"/>
      <c r="Z51" s="3"/>
      <c r="AA51" s="3"/>
      <c r="AB51" s="3"/>
      <c r="AC51" s="3"/>
    </row>
    <row r="52" ht="12.75"/>
    <row r="53" spans="1:68" ht="25.5">
      <c r="A53" s="175" t="s">
        <v>369</v>
      </c>
      <c r="B53" s="7" t="s">
        <v>2</v>
      </c>
      <c r="C53" s="7" t="s">
        <v>3</v>
      </c>
      <c r="D53" s="7" t="s">
        <v>4</v>
      </c>
      <c r="E53" s="7" t="s">
        <v>5</v>
      </c>
      <c r="F53" s="7" t="s">
        <v>6</v>
      </c>
      <c r="G53" s="7" t="s">
        <v>12</v>
      </c>
      <c r="H53" s="7" t="s">
        <v>13</v>
      </c>
      <c r="I53" s="7" t="s">
        <v>14</v>
      </c>
      <c r="J53" s="7" t="s">
        <v>15</v>
      </c>
      <c r="K53" s="7" t="s">
        <v>16</v>
      </c>
      <c r="L53" s="7" t="s">
        <v>17</v>
      </c>
      <c r="M53" s="7" t="s">
        <v>18</v>
      </c>
      <c r="N53" s="7" t="s">
        <v>19</v>
      </c>
      <c r="O53" s="7" t="s">
        <v>20</v>
      </c>
      <c r="P53" s="7" t="s">
        <v>21</v>
      </c>
      <c r="Q53" s="7" t="s">
        <v>22</v>
      </c>
      <c r="R53" s="7" t="s">
        <v>23</v>
      </c>
      <c r="S53" s="7" t="s">
        <v>24</v>
      </c>
      <c r="T53" s="7" t="s">
        <v>25</v>
      </c>
      <c r="U53" s="7" t="s">
        <v>26</v>
      </c>
      <c r="V53" s="175" t="s">
        <v>27</v>
      </c>
      <c r="W53" s="175" t="s">
        <v>28</v>
      </c>
      <c r="X53" s="175" t="s">
        <v>29</v>
      </c>
      <c r="Y53" s="175" t="s">
        <v>30</v>
      </c>
      <c r="Z53" s="175" t="s">
        <v>31</v>
      </c>
      <c r="AA53" s="175" t="s">
        <v>32</v>
      </c>
      <c r="AB53" s="175" t="s">
        <v>33</v>
      </c>
      <c r="AC53" s="175" t="s">
        <v>34</v>
      </c>
      <c r="AD53" s="175" t="s">
        <v>271</v>
      </c>
      <c r="AE53" s="175" t="s">
        <v>272</v>
      </c>
      <c r="AF53" s="175" t="s">
        <v>274</v>
      </c>
      <c r="AG53" s="175" t="s">
        <v>276</v>
      </c>
      <c r="AH53" s="175" t="s">
        <v>278</v>
      </c>
      <c r="AI53" s="175" t="s">
        <v>280</v>
      </c>
      <c r="AJ53" s="175" t="s">
        <v>281</v>
      </c>
      <c r="AK53" s="175" t="s">
        <v>289</v>
      </c>
      <c r="AL53" s="175" t="s">
        <v>290</v>
      </c>
      <c r="AM53" s="175" t="s">
        <v>291</v>
      </c>
      <c r="AN53" s="175" t="s">
        <v>292</v>
      </c>
      <c r="AO53" s="175" t="s">
        <v>293</v>
      </c>
      <c r="AP53" s="175" t="s">
        <v>329</v>
      </c>
      <c r="AQ53" s="175" t="s">
        <v>330</v>
      </c>
      <c r="AR53" s="175" t="s">
        <v>331</v>
      </c>
      <c r="AS53" s="175" t="s">
        <v>332</v>
      </c>
      <c r="AT53" s="175" t="s">
        <v>333</v>
      </c>
      <c r="AU53" s="176" t="s">
        <v>448</v>
      </c>
      <c r="AV53" s="176" t="s">
        <v>451</v>
      </c>
      <c r="AW53" s="176" t="s">
        <v>453</v>
      </c>
      <c r="AX53" s="176" t="s">
        <v>454</v>
      </c>
      <c r="AY53" s="175" t="s">
        <v>457</v>
      </c>
      <c r="AZ53" s="350"/>
      <c r="BA53" s="326"/>
      <c r="BB53" s="326"/>
      <c r="BC53" s="326"/>
      <c r="BD53" s="326"/>
      <c r="BE53" s="325"/>
      <c r="BF53" s="325"/>
      <c r="BG53" s="326"/>
      <c r="BH53" s="326"/>
      <c r="BI53" s="326"/>
      <c r="BJ53" s="326"/>
      <c r="BK53" s="326"/>
      <c r="BL53" s="326"/>
      <c r="BM53" s="326"/>
      <c r="BN53" s="326"/>
      <c r="BO53" s="326"/>
      <c r="BP53" s="326"/>
    </row>
    <row r="54" spans="52:68" ht="12.75" customHeight="1">
      <c r="AZ54" s="350"/>
      <c r="BA54" s="56"/>
      <c r="BB54" s="56"/>
      <c r="BC54" s="56"/>
      <c r="BD54" s="56"/>
      <c r="BE54" s="56"/>
      <c r="BF54" s="56"/>
      <c r="BG54" s="56"/>
      <c r="BH54" s="56"/>
      <c r="BI54" s="56"/>
      <c r="BJ54" s="56"/>
      <c r="BK54" s="56"/>
      <c r="BL54" s="56"/>
      <c r="BM54" s="56"/>
      <c r="BN54" s="56"/>
      <c r="BO54" s="56"/>
      <c r="BP54" s="56"/>
    </row>
    <row r="55" spans="1:256" ht="12.75">
      <c r="A55" s="178" t="s">
        <v>8</v>
      </c>
      <c r="B55" s="62">
        <v>22.218</v>
      </c>
      <c r="C55" s="62">
        <v>25.826</v>
      </c>
      <c r="D55" s="62">
        <v>24.587</v>
      </c>
      <c r="E55" s="62">
        <v>23.952</v>
      </c>
      <c r="F55" s="43">
        <v>96.583</v>
      </c>
      <c r="G55" s="62">
        <v>9.997</v>
      </c>
      <c r="H55" s="62">
        <v>27.801</v>
      </c>
      <c r="I55" s="62">
        <v>18.345</v>
      </c>
      <c r="J55" s="62">
        <v>8.391</v>
      </c>
      <c r="K55" s="43">
        <v>64.534</v>
      </c>
      <c r="L55" s="62">
        <v>19.919</v>
      </c>
      <c r="M55" s="62">
        <v>23.269</v>
      </c>
      <c r="N55" s="62">
        <v>32.782</v>
      </c>
      <c r="O55" s="62">
        <v>32.694</v>
      </c>
      <c r="P55" s="43">
        <v>108.664</v>
      </c>
      <c r="Q55" s="62">
        <v>35.395</v>
      </c>
      <c r="R55" s="62">
        <v>45.334</v>
      </c>
      <c r="S55" s="62">
        <v>70.847</v>
      </c>
      <c r="T55" s="62">
        <v>63.499</v>
      </c>
      <c r="U55" s="43">
        <v>215.075</v>
      </c>
      <c r="V55" s="62">
        <v>50.578</v>
      </c>
      <c r="W55" s="62">
        <v>64.669</v>
      </c>
      <c r="X55" s="62">
        <v>64.432</v>
      </c>
      <c r="Y55" s="62">
        <v>58.715</v>
      </c>
      <c r="Z55" s="198">
        <v>238.394</v>
      </c>
      <c r="AA55" s="62">
        <v>40.101</v>
      </c>
      <c r="AB55" s="62">
        <v>84.5</v>
      </c>
      <c r="AC55" s="62">
        <v>74.6</v>
      </c>
      <c r="AD55" s="62">
        <f>AE55-AC55-AB55-AA55</f>
        <v>31.998999999999995</v>
      </c>
      <c r="AE55" s="198">
        <v>231.2</v>
      </c>
      <c r="AF55" s="62">
        <v>43.9</v>
      </c>
      <c r="AG55" s="62">
        <v>74.6</v>
      </c>
      <c r="AH55" s="62">
        <v>63</v>
      </c>
      <c r="AI55" s="62">
        <v>53.7</v>
      </c>
      <c r="AJ55" s="198">
        <v>235.1</v>
      </c>
      <c r="AK55" s="62">
        <v>57.8</v>
      </c>
      <c r="AL55" s="62">
        <v>86.3</v>
      </c>
      <c r="AM55" s="62">
        <v>22.9</v>
      </c>
      <c r="AN55" s="62">
        <v>-20</v>
      </c>
      <c r="AO55" s="198">
        <v>147</v>
      </c>
      <c r="AP55" s="62">
        <v>24.6</v>
      </c>
      <c r="AQ55" s="62">
        <v>63.2</v>
      </c>
      <c r="AR55" s="62">
        <v>25.1</v>
      </c>
      <c r="AS55" s="62">
        <f>+AT55-AP55-AQ55-AR55</f>
        <v>18.000000000000007</v>
      </c>
      <c r="AT55" s="198">
        <v>130.9</v>
      </c>
      <c r="AU55" s="62">
        <v>29.5</v>
      </c>
      <c r="AV55" s="62">
        <v>42.3</v>
      </c>
      <c r="AW55" s="62">
        <v>49.3</v>
      </c>
      <c r="AX55" s="62">
        <v>30.5</v>
      </c>
      <c r="AY55" s="198">
        <v>151.6</v>
      </c>
      <c r="AZ55" s="350"/>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c r="IV55" s="79"/>
    </row>
    <row r="56" spans="1:256" s="24" customFormat="1" ht="12.75">
      <c r="A56" s="179" t="s">
        <v>35</v>
      </c>
      <c r="B56" s="66">
        <v>15.886</v>
      </c>
      <c r="C56" s="66">
        <v>19.325</v>
      </c>
      <c r="D56" s="66">
        <v>18.065</v>
      </c>
      <c r="E56" s="66">
        <v>16.86</v>
      </c>
      <c r="F56" s="67">
        <v>70.136</v>
      </c>
      <c r="G56" s="66">
        <v>3.423</v>
      </c>
      <c r="H56" s="66">
        <v>21.08</v>
      </c>
      <c r="I56" s="66">
        <v>11.526</v>
      </c>
      <c r="J56" s="66">
        <v>1.321</v>
      </c>
      <c r="K56" s="67">
        <v>37.35</v>
      </c>
      <c r="L56" s="66">
        <v>13.483</v>
      </c>
      <c r="M56" s="66">
        <v>12.182</v>
      </c>
      <c r="N56" s="66">
        <v>21.404</v>
      </c>
      <c r="O56" s="66">
        <v>20.565</v>
      </c>
      <c r="P56" s="67">
        <v>67.634</v>
      </c>
      <c r="Q56" s="66">
        <v>23.634</v>
      </c>
      <c r="R56" s="66">
        <v>32.18</v>
      </c>
      <c r="S56" s="66">
        <v>59.047</v>
      </c>
      <c r="T56" s="66">
        <v>44.041</v>
      </c>
      <c r="U56" s="67">
        <v>158.902</v>
      </c>
      <c r="V56" s="66">
        <v>37.683</v>
      </c>
      <c r="W56" s="66">
        <v>50.179</v>
      </c>
      <c r="X56" s="66">
        <v>50.698</v>
      </c>
      <c r="Y56" s="66">
        <v>38.427</v>
      </c>
      <c r="Z56" s="199">
        <v>176.987</v>
      </c>
      <c r="AA56" s="66">
        <v>24.235</v>
      </c>
      <c r="AB56" s="66">
        <v>69.079</v>
      </c>
      <c r="AC56" s="66">
        <v>58.7</v>
      </c>
      <c r="AD56" s="66">
        <f>AE56-AC56-AB56-AA56</f>
        <v>16.986000000000004</v>
      </c>
      <c r="AE56" s="199">
        <v>169</v>
      </c>
      <c r="AF56" s="66">
        <v>28.4</v>
      </c>
      <c r="AG56" s="66">
        <v>58.5</v>
      </c>
      <c r="AH56" s="66">
        <v>47.2</v>
      </c>
      <c r="AI56" s="66">
        <v>37.8</v>
      </c>
      <c r="AJ56" s="199">
        <v>171.9</v>
      </c>
      <c r="AK56" s="66">
        <v>40.1</v>
      </c>
      <c r="AL56" s="66">
        <v>69</v>
      </c>
      <c r="AM56" s="66">
        <v>4.5</v>
      </c>
      <c r="AN56" s="66">
        <v>-41.3</v>
      </c>
      <c r="AO56" s="199">
        <v>72.4</v>
      </c>
      <c r="AP56" s="66">
        <v>4.7</v>
      </c>
      <c r="AQ56" s="66">
        <v>41.3</v>
      </c>
      <c r="AR56" s="66">
        <v>5.4</v>
      </c>
      <c r="AS56" s="60">
        <f>+AT56-AP56-AQ56-AR56</f>
        <v>-8.299999999999999</v>
      </c>
      <c r="AT56" s="199">
        <v>43.1</v>
      </c>
      <c r="AU56" s="66">
        <v>9.1</v>
      </c>
      <c r="AV56" s="66">
        <v>21.4</v>
      </c>
      <c r="AW56" s="66">
        <v>27.8</v>
      </c>
      <c r="AX56" s="66">
        <v>7.1</v>
      </c>
      <c r="AY56" s="199">
        <v>65.5</v>
      </c>
      <c r="AZ56" s="35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row>
    <row r="57" spans="1:256" ht="14.25">
      <c r="A57" s="178" t="s">
        <v>311</v>
      </c>
      <c r="B57" s="62">
        <v>3.7</v>
      </c>
      <c r="C57" s="62">
        <v>4.5</v>
      </c>
      <c r="D57" s="62">
        <v>4.9</v>
      </c>
      <c r="E57" s="62">
        <v>9.1</v>
      </c>
      <c r="F57" s="43">
        <v>22.2</v>
      </c>
      <c r="G57" s="62">
        <v>1.3</v>
      </c>
      <c r="H57" s="62">
        <v>2.8</v>
      </c>
      <c r="I57" s="62">
        <v>4.1</v>
      </c>
      <c r="J57" s="62">
        <v>13.8</v>
      </c>
      <c r="K57" s="43">
        <v>22</v>
      </c>
      <c r="L57" s="62">
        <v>3.1</v>
      </c>
      <c r="M57" s="62">
        <v>11.8</v>
      </c>
      <c r="N57" s="62">
        <v>15</v>
      </c>
      <c r="O57" s="62">
        <v>47.5</v>
      </c>
      <c r="P57" s="43">
        <v>77.4</v>
      </c>
      <c r="Q57" s="62">
        <v>7.5</v>
      </c>
      <c r="R57" s="62">
        <v>13.3</v>
      </c>
      <c r="S57" s="62">
        <v>30.2</v>
      </c>
      <c r="T57" s="62">
        <v>28</v>
      </c>
      <c r="U57" s="43">
        <v>79</v>
      </c>
      <c r="V57" s="62">
        <v>27.8</v>
      </c>
      <c r="W57" s="62">
        <v>25.8</v>
      </c>
      <c r="X57" s="62">
        <v>12.3</v>
      </c>
      <c r="Y57" s="62">
        <v>26.4</v>
      </c>
      <c r="Z57" s="198">
        <v>92.3</v>
      </c>
      <c r="AA57" s="62">
        <v>5.7</v>
      </c>
      <c r="AB57" s="62">
        <v>11.5</v>
      </c>
      <c r="AC57" s="62">
        <v>18.4</v>
      </c>
      <c r="AD57" s="62">
        <v>38.6</v>
      </c>
      <c r="AE57" s="198">
        <v>74.2</v>
      </c>
      <c r="AF57" s="62">
        <v>8.8</v>
      </c>
      <c r="AG57" s="62">
        <v>12.7</v>
      </c>
      <c r="AH57" s="62">
        <v>10.9</v>
      </c>
      <c r="AI57" s="62">
        <v>174</v>
      </c>
      <c r="AJ57" s="198">
        <v>206.4</v>
      </c>
      <c r="AK57" s="62">
        <v>10.8</v>
      </c>
      <c r="AL57" s="62">
        <v>30.3</v>
      </c>
      <c r="AM57" s="62">
        <v>24.8</v>
      </c>
      <c r="AN57" s="62">
        <f>47.1+6.4</f>
        <v>53.5</v>
      </c>
      <c r="AO57" s="198">
        <v>119.4</v>
      </c>
      <c r="AP57" s="62">
        <v>11.9</v>
      </c>
      <c r="AQ57" s="62">
        <v>23.5</v>
      </c>
      <c r="AR57" s="62">
        <v>16.8</v>
      </c>
      <c r="AS57" s="62">
        <f>+AT57-AP57-AQ57-AR57</f>
        <v>19.599999999999998</v>
      </c>
      <c r="AT57" s="198">
        <v>71.8</v>
      </c>
      <c r="AU57" s="62">
        <v>5.5</v>
      </c>
      <c r="AV57" s="62">
        <v>18.2</v>
      </c>
      <c r="AW57" s="62">
        <v>7.6</v>
      </c>
      <c r="AX57" s="62">
        <v>20.3</v>
      </c>
      <c r="AY57" s="198">
        <v>51.6</v>
      </c>
      <c r="AZ57" s="350"/>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c r="IV57" s="79"/>
    </row>
    <row r="58" spans="1:68" ht="12.75">
      <c r="A58" s="27"/>
      <c r="AZ58" s="350"/>
      <c r="BA58" s="56"/>
      <c r="BB58" s="56"/>
      <c r="BC58" s="56"/>
      <c r="BD58" s="56"/>
      <c r="BE58" s="56"/>
      <c r="BF58" s="56"/>
      <c r="BG58" s="56"/>
      <c r="BH58" s="56"/>
      <c r="BI58" s="56"/>
      <c r="BJ58" s="56"/>
      <c r="BK58" s="56"/>
      <c r="BL58" s="56"/>
      <c r="BM58" s="56"/>
      <c r="BN58" s="56"/>
      <c r="BO58" s="56"/>
      <c r="BP58" s="56"/>
    </row>
    <row r="59" spans="1:68" ht="27">
      <c r="A59" s="28" t="s">
        <v>312</v>
      </c>
      <c r="AZ59" s="350"/>
      <c r="BA59" s="56"/>
      <c r="BB59" s="56"/>
      <c r="BC59" s="56"/>
      <c r="BD59" s="56"/>
      <c r="BE59" s="56"/>
      <c r="BF59" s="56"/>
      <c r="BG59" s="56"/>
      <c r="BH59" s="56"/>
      <c r="BI59" s="56"/>
      <c r="BJ59" s="56"/>
      <c r="BK59" s="56"/>
      <c r="BL59" s="56"/>
      <c r="BM59" s="56"/>
      <c r="BN59" s="56"/>
      <c r="BO59" s="56"/>
      <c r="BP59" s="56"/>
    </row>
    <row r="60" spans="52:68" ht="12.75">
      <c r="AZ60" s="350"/>
      <c r="BA60" s="56"/>
      <c r="BB60" s="56"/>
      <c r="BC60" s="56"/>
      <c r="BD60" s="56"/>
      <c r="BE60" s="56"/>
      <c r="BF60" s="56"/>
      <c r="BG60" s="56"/>
      <c r="BH60" s="56"/>
      <c r="BI60" s="56"/>
      <c r="BJ60" s="56"/>
      <c r="BK60" s="56"/>
      <c r="BL60" s="56"/>
      <c r="BM60" s="56"/>
      <c r="BN60" s="56"/>
      <c r="BO60" s="56"/>
      <c r="BP60" s="56"/>
    </row>
    <row r="61" spans="1:68" ht="12.75">
      <c r="A61" s="175"/>
      <c r="B61" s="7" t="s">
        <v>2</v>
      </c>
      <c r="C61" s="7" t="s">
        <v>3</v>
      </c>
      <c r="D61" s="7" t="s">
        <v>4</v>
      </c>
      <c r="E61" s="6" t="s">
        <v>5</v>
      </c>
      <c r="F61" s="6" t="s">
        <v>6</v>
      </c>
      <c r="G61" s="7" t="s">
        <v>12</v>
      </c>
      <c r="H61" s="7" t="s">
        <v>13</v>
      </c>
      <c r="I61" s="7" t="s">
        <v>14</v>
      </c>
      <c r="J61" s="6" t="s">
        <v>15</v>
      </c>
      <c r="K61" s="6" t="s">
        <v>16</v>
      </c>
      <c r="L61" s="7" t="s">
        <v>17</v>
      </c>
      <c r="M61" s="7" t="s">
        <v>18</v>
      </c>
      <c r="N61" s="7" t="s">
        <v>19</v>
      </c>
      <c r="O61" s="6" t="s">
        <v>20</v>
      </c>
      <c r="P61" s="6" t="s">
        <v>21</v>
      </c>
      <c r="Q61" s="7" t="s">
        <v>22</v>
      </c>
      <c r="R61" s="7" t="s">
        <v>23</v>
      </c>
      <c r="S61" s="7" t="s">
        <v>24</v>
      </c>
      <c r="T61" s="6" t="s">
        <v>25</v>
      </c>
      <c r="U61" s="6" t="s">
        <v>26</v>
      </c>
      <c r="V61" s="175" t="s">
        <v>27</v>
      </c>
      <c r="W61" s="175" t="s">
        <v>28</v>
      </c>
      <c r="X61" s="175" t="s">
        <v>29</v>
      </c>
      <c r="Y61" s="175" t="s">
        <v>30</v>
      </c>
      <c r="Z61" s="175" t="s">
        <v>31</v>
      </c>
      <c r="AA61" s="175" t="s">
        <v>32</v>
      </c>
      <c r="AB61" s="175" t="s">
        <v>33</v>
      </c>
      <c r="AC61" s="175" t="s">
        <v>34</v>
      </c>
      <c r="AD61" s="175" t="s">
        <v>271</v>
      </c>
      <c r="AE61" s="175" t="s">
        <v>272</v>
      </c>
      <c r="AF61" s="175" t="s">
        <v>274</v>
      </c>
      <c r="AG61" s="175" t="s">
        <v>276</v>
      </c>
      <c r="AH61" s="175" t="s">
        <v>278</v>
      </c>
      <c r="AI61" s="175" t="s">
        <v>280</v>
      </c>
      <c r="AJ61" s="175" t="s">
        <v>281</v>
      </c>
      <c r="AK61" s="175" t="s">
        <v>289</v>
      </c>
      <c r="AL61" s="175" t="s">
        <v>290</v>
      </c>
      <c r="AM61" s="175" t="s">
        <v>291</v>
      </c>
      <c r="AN61" s="175" t="s">
        <v>292</v>
      </c>
      <c r="AO61" s="175" t="s">
        <v>293</v>
      </c>
      <c r="AP61" s="175" t="s">
        <v>329</v>
      </c>
      <c r="AQ61" s="175" t="s">
        <v>330</v>
      </c>
      <c r="AR61" s="175" t="s">
        <v>331</v>
      </c>
      <c r="AS61" s="175" t="s">
        <v>332</v>
      </c>
      <c r="AT61" s="175" t="s">
        <v>333</v>
      </c>
      <c r="AU61" s="176" t="s">
        <v>448</v>
      </c>
      <c r="AV61" s="176" t="s">
        <v>451</v>
      </c>
      <c r="AW61" s="176" t="s">
        <v>453</v>
      </c>
      <c r="AX61" s="176" t="s">
        <v>454</v>
      </c>
      <c r="AY61" s="175" t="s">
        <v>457</v>
      </c>
      <c r="AZ61" s="350"/>
      <c r="BA61" s="326"/>
      <c r="BB61" s="326"/>
      <c r="BC61" s="326"/>
      <c r="BD61" s="326"/>
      <c r="BE61" s="325"/>
      <c r="BF61" s="325"/>
      <c r="BG61" s="326"/>
      <c r="BH61" s="326"/>
      <c r="BI61" s="326"/>
      <c r="BJ61" s="326"/>
      <c r="BK61" s="326"/>
      <c r="BL61" s="326"/>
      <c r="BM61" s="326"/>
      <c r="BN61" s="326"/>
      <c r="BO61" s="326"/>
      <c r="BP61" s="326"/>
    </row>
    <row r="62" spans="1:68" ht="12.75">
      <c r="A62" s="45"/>
      <c r="B62" s="37"/>
      <c r="C62" s="37"/>
      <c r="D62" s="37"/>
      <c r="E62" s="38"/>
      <c r="F62" s="38"/>
      <c r="G62" s="37"/>
      <c r="H62" s="37"/>
      <c r="I62" s="37"/>
      <c r="J62" s="38"/>
      <c r="K62" s="38"/>
      <c r="L62" s="37"/>
      <c r="M62" s="37"/>
      <c r="N62" s="37"/>
      <c r="O62" s="38"/>
      <c r="P62" s="38"/>
      <c r="Q62" s="37"/>
      <c r="R62" s="37"/>
      <c r="S62" s="37"/>
      <c r="T62" s="38"/>
      <c r="U62" s="38"/>
      <c r="V62" s="37"/>
      <c r="W62" s="37"/>
      <c r="X62" s="37"/>
      <c r="Y62" s="38"/>
      <c r="Z62" s="38"/>
      <c r="AA62" s="37"/>
      <c r="AB62" s="37"/>
      <c r="AC62" s="37"/>
      <c r="AD62" s="38"/>
      <c r="AE62" s="38"/>
      <c r="AF62" s="37"/>
      <c r="AG62" s="37"/>
      <c r="AH62" s="37"/>
      <c r="AI62" s="38"/>
      <c r="AJ62" s="38"/>
      <c r="AK62" s="37"/>
      <c r="AL62" s="37"/>
      <c r="AM62" s="37"/>
      <c r="AN62" s="38"/>
      <c r="AO62" s="38"/>
      <c r="AP62" s="37"/>
      <c r="AQ62" s="37"/>
      <c r="AR62" s="37"/>
      <c r="AS62" s="38"/>
      <c r="AT62" s="38"/>
      <c r="AU62" s="37"/>
      <c r="AV62" s="37"/>
      <c r="AW62" s="37"/>
      <c r="AX62" s="37"/>
      <c r="AY62" s="38"/>
      <c r="AZ62" s="350"/>
      <c r="BA62" s="327"/>
      <c r="BB62" s="327"/>
      <c r="BC62" s="327"/>
      <c r="BD62" s="327"/>
      <c r="BE62" s="326"/>
      <c r="BF62" s="326"/>
      <c r="BG62" s="327"/>
      <c r="BH62" s="327"/>
      <c r="BI62" s="327"/>
      <c r="BJ62" s="327"/>
      <c r="BK62" s="327"/>
      <c r="BL62" s="327"/>
      <c r="BM62" s="327"/>
      <c r="BN62" s="327"/>
      <c r="BO62" s="327"/>
      <c r="BP62" s="327"/>
    </row>
    <row r="63" spans="1:68" s="24" customFormat="1" ht="12.75">
      <c r="A63" s="179" t="s">
        <v>72</v>
      </c>
      <c r="B63" s="64"/>
      <c r="C63" s="64"/>
      <c r="D63" s="64"/>
      <c r="E63" s="64"/>
      <c r="F63" s="11"/>
      <c r="G63" s="60">
        <v>3.4</v>
      </c>
      <c r="H63" s="60">
        <v>21.1</v>
      </c>
      <c r="I63" s="60">
        <v>11.5</v>
      </c>
      <c r="J63" s="60">
        <v>1.3</v>
      </c>
      <c r="K63" s="11">
        <v>37.4</v>
      </c>
      <c r="L63" s="60">
        <v>13.483</v>
      </c>
      <c r="M63" s="60">
        <v>12.182</v>
      </c>
      <c r="N63" s="60">
        <v>21.404</v>
      </c>
      <c r="O63" s="60">
        <v>20.565</v>
      </c>
      <c r="P63" s="11">
        <v>67.634</v>
      </c>
      <c r="Q63" s="60">
        <v>23.6</v>
      </c>
      <c r="R63" s="60">
        <v>32.2</v>
      </c>
      <c r="S63" s="60">
        <v>59</v>
      </c>
      <c r="T63" s="60">
        <v>44</v>
      </c>
      <c r="U63" s="11">
        <v>158.9</v>
      </c>
      <c r="V63" s="60">
        <v>37.7</v>
      </c>
      <c r="W63" s="60">
        <v>50.2</v>
      </c>
      <c r="X63" s="60">
        <v>50.7</v>
      </c>
      <c r="Y63" s="60">
        <v>38.4</v>
      </c>
      <c r="Z63" s="200">
        <v>177</v>
      </c>
      <c r="AA63" s="60">
        <v>24.2</v>
      </c>
      <c r="AB63" s="60">
        <v>69.1</v>
      </c>
      <c r="AC63" s="60">
        <v>58.7</v>
      </c>
      <c r="AD63" s="60">
        <v>17</v>
      </c>
      <c r="AE63" s="200">
        <f>+AA63+AB63+AC63+AD63</f>
        <v>169</v>
      </c>
      <c r="AF63" s="60">
        <v>28.4</v>
      </c>
      <c r="AG63" s="60">
        <f>+AG56</f>
        <v>58.5</v>
      </c>
      <c r="AH63" s="60">
        <f>+AH56</f>
        <v>47.2</v>
      </c>
      <c r="AI63" s="60">
        <v>37.8</v>
      </c>
      <c r="AJ63" s="200">
        <v>171.9</v>
      </c>
      <c r="AK63" s="60">
        <v>40.1</v>
      </c>
      <c r="AL63" s="60">
        <v>69</v>
      </c>
      <c r="AM63" s="60">
        <v>4.5</v>
      </c>
      <c r="AN63" s="60">
        <v>-41.1</v>
      </c>
      <c r="AO63" s="200">
        <v>72.5</v>
      </c>
      <c r="AP63" s="60">
        <v>4.7</v>
      </c>
      <c r="AQ63" s="60">
        <v>41.3</v>
      </c>
      <c r="AR63" s="60">
        <v>5.4</v>
      </c>
      <c r="AS63" s="60">
        <f>+AS56</f>
        <v>-8.299999999999999</v>
      </c>
      <c r="AT63" s="200">
        <f>+AT56</f>
        <v>43.1</v>
      </c>
      <c r="AU63" s="60">
        <v>9.1</v>
      </c>
      <c r="AV63" s="60">
        <v>21.4</v>
      </c>
      <c r="AW63" s="60">
        <v>27.8</v>
      </c>
      <c r="AX63" s="60">
        <v>7.1</v>
      </c>
      <c r="AY63" s="200">
        <v>65.5</v>
      </c>
      <c r="AZ63" s="350"/>
      <c r="BA63" s="221"/>
      <c r="BB63" s="221"/>
      <c r="BC63" s="221"/>
      <c r="BD63" s="221"/>
      <c r="BE63" s="221"/>
      <c r="BF63" s="221"/>
      <c r="BG63" s="221"/>
      <c r="BH63" s="221"/>
      <c r="BI63" s="221"/>
      <c r="BJ63" s="221"/>
      <c r="BK63" s="221"/>
      <c r="BL63" s="221"/>
      <c r="BM63" s="221"/>
      <c r="BN63" s="221"/>
      <c r="BO63" s="221"/>
      <c r="BP63" s="221"/>
    </row>
    <row r="64" spans="1:68" ht="12.75">
      <c r="A64" s="178" t="s">
        <v>73</v>
      </c>
      <c r="B64" s="65"/>
      <c r="C64" s="65"/>
      <c r="D64" s="65"/>
      <c r="E64" s="65"/>
      <c r="F64" s="9"/>
      <c r="G64" s="59">
        <v>0</v>
      </c>
      <c r="H64" s="59">
        <v>-1.7</v>
      </c>
      <c r="I64" s="59">
        <v>0</v>
      </c>
      <c r="J64" s="59">
        <v>6.4</v>
      </c>
      <c r="K64" s="9">
        <v>4.7</v>
      </c>
      <c r="L64" s="59">
        <v>0</v>
      </c>
      <c r="M64" s="59">
        <v>0</v>
      </c>
      <c r="N64" s="59">
        <v>4.5</v>
      </c>
      <c r="O64" s="59">
        <v>0</v>
      </c>
      <c r="P64" s="9" t="s">
        <v>234</v>
      </c>
      <c r="Q64" s="59">
        <v>0</v>
      </c>
      <c r="R64" s="59">
        <v>0</v>
      </c>
      <c r="S64" s="59">
        <v>0</v>
      </c>
      <c r="T64" s="59">
        <v>0</v>
      </c>
      <c r="U64" s="9">
        <v>0</v>
      </c>
      <c r="V64" s="59">
        <v>0</v>
      </c>
      <c r="W64" s="59">
        <v>0</v>
      </c>
      <c r="X64" s="59">
        <v>8.6</v>
      </c>
      <c r="Y64" s="59">
        <v>0</v>
      </c>
      <c r="Z64" s="174">
        <v>8.6</v>
      </c>
      <c r="AA64" s="59">
        <v>0</v>
      </c>
      <c r="AB64" s="59">
        <v>0</v>
      </c>
      <c r="AC64" s="59">
        <v>0</v>
      </c>
      <c r="AD64" s="59">
        <v>0</v>
      </c>
      <c r="AE64" s="174">
        <v>0</v>
      </c>
      <c r="AF64" s="59">
        <v>0</v>
      </c>
      <c r="AG64" s="59">
        <v>0</v>
      </c>
      <c r="AH64" s="59">
        <v>0</v>
      </c>
      <c r="AI64" s="59">
        <v>0</v>
      </c>
      <c r="AJ64" s="174">
        <v>0</v>
      </c>
      <c r="AK64" s="59">
        <v>0</v>
      </c>
      <c r="AL64" s="59">
        <v>0</v>
      </c>
      <c r="AM64" s="59">
        <v>0.6</v>
      </c>
      <c r="AN64" s="59">
        <v>-4.6</v>
      </c>
      <c r="AO64" s="174">
        <v>-4</v>
      </c>
      <c r="AP64" s="59">
        <v>0</v>
      </c>
      <c r="AQ64" s="59">
        <v>0</v>
      </c>
      <c r="AR64" s="59">
        <v>0</v>
      </c>
      <c r="AS64" s="59">
        <v>4.7</v>
      </c>
      <c r="AT64" s="174">
        <v>4.7</v>
      </c>
      <c r="AU64" s="59">
        <v>0</v>
      </c>
      <c r="AV64" s="59">
        <v>0</v>
      </c>
      <c r="AW64" s="59">
        <v>14</v>
      </c>
      <c r="AX64" s="59">
        <v>7.9</v>
      </c>
      <c r="AY64" s="174">
        <v>21.9</v>
      </c>
      <c r="AZ64" s="350"/>
      <c r="BA64" s="223"/>
      <c r="BB64" s="223"/>
      <c r="BC64" s="223"/>
      <c r="BD64" s="223"/>
      <c r="BE64" s="223"/>
      <c r="BF64" s="223"/>
      <c r="BG64" s="223"/>
      <c r="BH64" s="223"/>
      <c r="BI64" s="223"/>
      <c r="BJ64" s="223"/>
      <c r="BK64" s="223"/>
      <c r="BL64" s="223"/>
      <c r="BM64" s="223"/>
      <c r="BN64" s="223"/>
      <c r="BO64" s="223"/>
      <c r="BP64" s="223"/>
    </row>
    <row r="65" spans="1:68" ht="12.75">
      <c r="A65" s="178" t="s">
        <v>233</v>
      </c>
      <c r="B65" s="65"/>
      <c r="C65" s="65"/>
      <c r="D65" s="65"/>
      <c r="E65" s="65"/>
      <c r="F65" s="9"/>
      <c r="G65" s="59">
        <v>7.5</v>
      </c>
      <c r="H65" s="59">
        <v>-0.3</v>
      </c>
      <c r="I65" s="59">
        <v>0.9</v>
      </c>
      <c r="J65" s="59">
        <v>-2.3</v>
      </c>
      <c r="K65" s="9">
        <v>5.8</v>
      </c>
      <c r="L65" s="59">
        <v>0</v>
      </c>
      <c r="M65" s="59">
        <v>0</v>
      </c>
      <c r="N65" s="59">
        <v>0</v>
      </c>
      <c r="O65" s="59">
        <v>0</v>
      </c>
      <c r="P65" s="9">
        <v>0</v>
      </c>
      <c r="Q65" s="59"/>
      <c r="R65" s="59"/>
      <c r="S65" s="59"/>
      <c r="T65" s="59"/>
      <c r="U65" s="9"/>
      <c r="V65" s="59"/>
      <c r="W65" s="59"/>
      <c r="X65" s="59"/>
      <c r="Y65" s="59"/>
      <c r="Z65" s="174"/>
      <c r="AA65" s="59"/>
      <c r="AB65" s="59"/>
      <c r="AC65" s="59"/>
      <c r="AD65" s="59"/>
      <c r="AE65" s="174"/>
      <c r="AF65" s="59"/>
      <c r="AG65" s="59"/>
      <c r="AH65" s="59"/>
      <c r="AI65" s="59"/>
      <c r="AJ65" s="174"/>
      <c r="AK65" s="59"/>
      <c r="AL65" s="59"/>
      <c r="AM65" s="59">
        <v>2.9</v>
      </c>
      <c r="AN65" s="59">
        <v>19.6</v>
      </c>
      <c r="AO65" s="174">
        <v>22.5</v>
      </c>
      <c r="AP65" s="59">
        <v>0</v>
      </c>
      <c r="AQ65" s="59">
        <v>0</v>
      </c>
      <c r="AR65" s="59">
        <v>2.8</v>
      </c>
      <c r="AS65" s="59">
        <v>-2.8</v>
      </c>
      <c r="AT65" s="201">
        <v>0</v>
      </c>
      <c r="AU65" s="59">
        <v>0</v>
      </c>
      <c r="AV65" s="59">
        <v>0</v>
      </c>
      <c r="AW65" s="59">
        <v>0</v>
      </c>
      <c r="AX65" s="59">
        <v>0</v>
      </c>
      <c r="AY65" s="201">
        <v>0</v>
      </c>
      <c r="AZ65" s="350"/>
      <c r="BA65" s="224"/>
      <c r="BB65" s="224"/>
      <c r="BC65" s="224"/>
      <c r="BD65" s="224"/>
      <c r="BE65" s="224"/>
      <c r="BF65" s="224"/>
      <c r="BG65" s="224"/>
      <c r="BH65" s="224"/>
      <c r="BI65" s="224"/>
      <c r="BJ65" s="224"/>
      <c r="BK65" s="224"/>
      <c r="BL65" s="224"/>
      <c r="BM65" s="224"/>
      <c r="BN65" s="224"/>
      <c r="BO65" s="224"/>
      <c r="BP65" s="224"/>
    </row>
    <row r="66" spans="1:68" ht="12.75">
      <c r="A66" s="178" t="s">
        <v>74</v>
      </c>
      <c r="B66" s="65"/>
      <c r="C66" s="65"/>
      <c r="D66" s="65"/>
      <c r="E66" s="65"/>
      <c r="F66" s="48"/>
      <c r="G66" s="59">
        <v>-3</v>
      </c>
      <c r="H66" s="59">
        <v>-2.8</v>
      </c>
      <c r="I66" s="59">
        <v>-1.8</v>
      </c>
      <c r="J66" s="59">
        <v>4.2</v>
      </c>
      <c r="K66" s="48" t="s">
        <v>254</v>
      </c>
      <c r="L66" s="59">
        <v>-0.7</v>
      </c>
      <c r="M66" s="59">
        <v>8.6</v>
      </c>
      <c r="N66" s="59">
        <v>-2.8</v>
      </c>
      <c r="O66" s="59">
        <v>0.09999999999999992</v>
      </c>
      <c r="P66" s="48">
        <v>5.2</v>
      </c>
      <c r="Q66" s="59">
        <v>-3.1</v>
      </c>
      <c r="R66" s="59">
        <v>-2.6</v>
      </c>
      <c r="S66" s="59">
        <v>-8.6</v>
      </c>
      <c r="T66" s="59">
        <v>5.4</v>
      </c>
      <c r="U66" s="48">
        <v>-8.9</v>
      </c>
      <c r="V66" s="59">
        <v>-13.7</v>
      </c>
      <c r="W66" s="59">
        <v>-14.7</v>
      </c>
      <c r="X66" s="59">
        <v>-12.9</v>
      </c>
      <c r="Y66" s="59">
        <v>2.2</v>
      </c>
      <c r="Z66" s="201">
        <v>-39.1</v>
      </c>
      <c r="AA66" s="59">
        <v>-8.5</v>
      </c>
      <c r="AB66" s="59">
        <v>-14.6</v>
      </c>
      <c r="AC66" s="59">
        <v>1.9</v>
      </c>
      <c r="AD66" s="59">
        <v>14.5</v>
      </c>
      <c r="AE66" s="201">
        <f>-8.5-14.6+1.9+14.5</f>
        <v>-6.700000000000003</v>
      </c>
      <c r="AF66" s="59">
        <v>4.5</v>
      </c>
      <c r="AG66" s="59">
        <v>-13.2</v>
      </c>
      <c r="AH66" s="59">
        <v>-9.4</v>
      </c>
      <c r="AI66" s="59">
        <v>-14</v>
      </c>
      <c r="AJ66" s="201">
        <v>-32.1</v>
      </c>
      <c r="AK66" s="59">
        <v>-7.7</v>
      </c>
      <c r="AL66" s="59">
        <v>-20.4</v>
      </c>
      <c r="AM66" s="59">
        <v>25.9</v>
      </c>
      <c r="AN66" s="59">
        <v>72.1</v>
      </c>
      <c r="AO66" s="201">
        <v>69.9</v>
      </c>
      <c r="AP66" s="59">
        <v>-10.7</v>
      </c>
      <c r="AQ66" s="59">
        <v>-35.8</v>
      </c>
      <c r="AR66" s="59">
        <v>-2.5</v>
      </c>
      <c r="AS66" s="59">
        <v>-1.2</v>
      </c>
      <c r="AT66" s="201">
        <v>-50.2</v>
      </c>
      <c r="AU66" s="59">
        <v>-12.1</v>
      </c>
      <c r="AV66" s="59">
        <v>-14.6</v>
      </c>
      <c r="AW66" s="59">
        <v>2.4</v>
      </c>
      <c r="AX66" s="59">
        <v>-12</v>
      </c>
      <c r="AY66" s="201">
        <v>-36.3</v>
      </c>
      <c r="AZ66" s="350"/>
      <c r="BA66" s="224"/>
      <c r="BB66" s="224"/>
      <c r="BC66" s="224"/>
      <c r="BD66" s="224"/>
      <c r="BE66" s="224"/>
      <c r="BF66" s="224"/>
      <c r="BG66" s="224"/>
      <c r="BH66" s="224"/>
      <c r="BI66" s="224"/>
      <c r="BJ66" s="224"/>
      <c r="BK66" s="224"/>
      <c r="BL66" s="224"/>
      <c r="BM66" s="224"/>
      <c r="BN66" s="224"/>
      <c r="BO66" s="224"/>
      <c r="BP66" s="224"/>
    </row>
    <row r="67" spans="1:68" ht="12.75">
      <c r="A67" s="179" t="s">
        <v>75</v>
      </c>
      <c r="B67" s="64"/>
      <c r="C67" s="64"/>
      <c r="D67" s="64"/>
      <c r="E67" s="64"/>
      <c r="F67" s="49"/>
      <c r="G67" s="60">
        <v>7.9</v>
      </c>
      <c r="H67" s="60">
        <v>16.3</v>
      </c>
      <c r="I67" s="60">
        <v>10.6</v>
      </c>
      <c r="J67" s="60">
        <v>9.6</v>
      </c>
      <c r="K67" s="49" t="s">
        <v>255</v>
      </c>
      <c r="L67" s="60">
        <v>12.783000000000001</v>
      </c>
      <c r="M67" s="60">
        <v>20.782</v>
      </c>
      <c r="N67" s="60">
        <v>23.104</v>
      </c>
      <c r="O67" s="60">
        <v>20.665</v>
      </c>
      <c r="P67" s="49">
        <v>72.834</v>
      </c>
      <c r="Q67" s="60">
        <v>20.5</v>
      </c>
      <c r="R67" s="60">
        <v>29.6</v>
      </c>
      <c r="S67" s="60">
        <v>50.4</v>
      </c>
      <c r="T67" s="60">
        <v>49.4</v>
      </c>
      <c r="U67" s="49">
        <v>150</v>
      </c>
      <c r="V67" s="60">
        <v>24</v>
      </c>
      <c r="W67" s="60">
        <v>35.5</v>
      </c>
      <c r="X67" s="60">
        <v>46.4</v>
      </c>
      <c r="Y67" s="60">
        <v>40.6</v>
      </c>
      <c r="Z67" s="202">
        <v>146.5</v>
      </c>
      <c r="AA67" s="60">
        <v>15.7</v>
      </c>
      <c r="AB67" s="60">
        <v>54.5</v>
      </c>
      <c r="AC67" s="60">
        <v>60.6</v>
      </c>
      <c r="AD67" s="60">
        <f>+AD63+AD66</f>
        <v>31.5</v>
      </c>
      <c r="AE67" s="202">
        <f>+AE63+AE66</f>
        <v>162.3</v>
      </c>
      <c r="AF67" s="60">
        <v>32.9</v>
      </c>
      <c r="AG67" s="60">
        <f>AG63+AG66</f>
        <v>45.3</v>
      </c>
      <c r="AH67" s="60">
        <f>AH63+AH66</f>
        <v>37.800000000000004</v>
      </c>
      <c r="AI67" s="60">
        <v>23.8</v>
      </c>
      <c r="AJ67" s="202">
        <v>139.8</v>
      </c>
      <c r="AK67" s="60">
        <v>32.4</v>
      </c>
      <c r="AL67" s="60">
        <v>48.6</v>
      </c>
      <c r="AM67" s="60">
        <v>33.9</v>
      </c>
      <c r="AN67" s="60">
        <v>46</v>
      </c>
      <c r="AO67" s="202">
        <v>160.9</v>
      </c>
      <c r="AP67" s="60">
        <v>-6</v>
      </c>
      <c r="AQ67" s="60">
        <v>5.5</v>
      </c>
      <c r="AR67" s="60">
        <f>SUM(AR63:AR66)</f>
        <v>5.699999999999999</v>
      </c>
      <c r="AS67" s="60">
        <f>SUM(AS63:AS66)</f>
        <v>-7.599999999999999</v>
      </c>
      <c r="AT67" s="202">
        <f>SUM(AT63:AT66)</f>
        <v>-2.3999999999999986</v>
      </c>
      <c r="AU67" s="60">
        <f>SUM(AU63:AU66)</f>
        <v>-3</v>
      </c>
      <c r="AV67" s="60">
        <v>6.8</v>
      </c>
      <c r="AW67" s="60">
        <v>44.2</v>
      </c>
      <c r="AX67" s="60">
        <v>3.0000000000000084</v>
      </c>
      <c r="AY67" s="202">
        <v>51.1</v>
      </c>
      <c r="AZ67" s="350"/>
      <c r="BA67" s="225"/>
      <c r="BB67" s="225"/>
      <c r="BC67" s="225"/>
      <c r="BD67" s="225"/>
      <c r="BE67" s="225"/>
      <c r="BF67" s="225"/>
      <c r="BG67" s="225"/>
      <c r="BH67" s="225"/>
      <c r="BI67" s="225"/>
      <c r="BJ67" s="225"/>
      <c r="BK67" s="225"/>
      <c r="BL67" s="225"/>
      <c r="BM67" s="225"/>
      <c r="BN67" s="225"/>
      <c r="BO67" s="225"/>
      <c r="BP67" s="225"/>
    </row>
    <row r="68" ht="12.75">
      <c r="A68" s="27"/>
    </row>
    <row r="69" spans="1:29" ht="12.75">
      <c r="A69" s="35" t="s">
        <v>235</v>
      </c>
      <c r="G69" s="3"/>
      <c r="H69" s="3"/>
      <c r="I69" s="3"/>
      <c r="J69" s="3"/>
      <c r="K69" s="3"/>
      <c r="L69" s="3"/>
      <c r="M69" s="3"/>
      <c r="N69" s="3"/>
      <c r="O69" s="3"/>
      <c r="P69" s="3"/>
      <c r="Q69" s="3"/>
      <c r="R69" s="3"/>
      <c r="S69" s="3"/>
      <c r="T69" s="3"/>
      <c r="U69" s="3"/>
      <c r="V69" s="3"/>
      <c r="W69" s="3"/>
      <c r="X69" s="3"/>
      <c r="Y69" s="3"/>
      <c r="Z69" s="3"/>
      <c r="AA69" s="3"/>
      <c r="AB69" s="3"/>
      <c r="AC69" s="3"/>
    </row>
    <row r="70" spans="1:29" ht="12.75">
      <c r="A70" s="23" t="s">
        <v>236</v>
      </c>
      <c r="G70" s="3"/>
      <c r="H70" s="3"/>
      <c r="I70" s="3"/>
      <c r="J70" s="3"/>
      <c r="K70" s="3"/>
      <c r="L70" s="3"/>
      <c r="M70" s="3"/>
      <c r="N70" s="3"/>
      <c r="O70" s="3"/>
      <c r="P70" s="3"/>
      <c r="Q70" s="3"/>
      <c r="R70" s="3"/>
      <c r="S70" s="3"/>
      <c r="T70" s="3"/>
      <c r="U70" s="3"/>
      <c r="V70" s="3"/>
      <c r="W70" s="3"/>
      <c r="X70" s="3"/>
      <c r="Y70" s="3"/>
      <c r="Z70" s="3"/>
      <c r="AA70" s="3"/>
      <c r="AB70" s="3"/>
      <c r="AC70" s="3"/>
    </row>
    <row r="71" ht="12.75"/>
    <row r="72" ht="12.75">
      <c r="A72" s="36"/>
    </row>
    <row r="73" ht="12.75"/>
    <row r="74" ht="12.75"/>
    <row r="75" ht="12.75"/>
  </sheetData>
  <sheetProtection/>
  <printOptions/>
  <pageMargins left="0.75" right="0.75" top="1" bottom="1" header="0.5" footer="0.5"/>
  <pageSetup fitToHeight="1" fitToWidth="1" horizontalDpi="300" verticalDpi="300" orientation="landscape" paperSize="9" scale="41"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IV160"/>
  <sheetViews>
    <sheetView zoomScalePageLayoutView="0" workbookViewId="0" topLeftCell="A1">
      <pane xSplit="1" ySplit="4" topLeftCell="AV5" activePane="bottomRight" state="frozen"/>
      <selection pane="topLeft" activeCell="A1" sqref="A1"/>
      <selection pane="topRight" activeCell="B1" sqref="B1"/>
      <selection pane="bottomLeft" activeCell="A5" sqref="A5"/>
      <selection pane="bottomRight" activeCell="A2" sqref="A2"/>
    </sheetView>
  </sheetViews>
  <sheetFormatPr defaultColWidth="9.140625" defaultRowHeight="12.75" zeroHeight="1" outlineLevelCol="1"/>
  <cols>
    <col min="1" max="1" width="45.8515625" style="23" customWidth="1"/>
    <col min="2" max="21" width="9.140625" style="23" customWidth="1" outlineLevel="1"/>
    <col min="22" max="46" width="9.140625" style="23" customWidth="1"/>
    <col min="47" max="47" width="9.140625" style="341" customWidth="1"/>
    <col min="48" max="59" width="9.140625" style="23" customWidth="1"/>
    <col min="60" max="61" width="9.140625" style="517" customWidth="1"/>
    <col min="62" max="16384" width="9.140625" style="23" customWidth="1"/>
  </cols>
  <sheetData>
    <row r="1" spans="1:61" ht="12.75">
      <c r="A1" s="24" t="s">
        <v>362</v>
      </c>
      <c r="B1" s="7" t="s">
        <v>2</v>
      </c>
      <c r="C1" s="7" t="s">
        <v>3</v>
      </c>
      <c r="D1" s="7" t="s">
        <v>4</v>
      </c>
      <c r="E1" s="7" t="s">
        <v>5</v>
      </c>
      <c r="F1" s="7" t="s">
        <v>6</v>
      </c>
      <c r="G1" s="7" t="s">
        <v>12</v>
      </c>
      <c r="H1" s="7" t="s">
        <v>13</v>
      </c>
      <c r="I1" s="7" t="s">
        <v>14</v>
      </c>
      <c r="J1" s="7" t="s">
        <v>15</v>
      </c>
      <c r="K1" s="7" t="s">
        <v>16</v>
      </c>
      <c r="L1" s="7" t="s">
        <v>17</v>
      </c>
      <c r="M1" s="7" t="s">
        <v>18</v>
      </c>
      <c r="N1" s="7" t="s">
        <v>19</v>
      </c>
      <c r="O1" s="7" t="s">
        <v>20</v>
      </c>
      <c r="P1" s="7" t="s">
        <v>21</v>
      </c>
      <c r="Q1" s="7" t="s">
        <v>22</v>
      </c>
      <c r="R1" s="7" t="s">
        <v>23</v>
      </c>
      <c r="S1" s="7" t="s">
        <v>24</v>
      </c>
      <c r="T1" s="7" t="s">
        <v>25</v>
      </c>
      <c r="U1" s="7" t="s">
        <v>26</v>
      </c>
      <c r="V1" s="7" t="s">
        <v>27</v>
      </c>
      <c r="W1" s="7" t="s">
        <v>28</v>
      </c>
      <c r="X1" s="7" t="s">
        <v>29</v>
      </c>
      <c r="Y1" s="7" t="s">
        <v>30</v>
      </c>
      <c r="Z1" s="7" t="s">
        <v>31</v>
      </c>
      <c r="AA1" s="7" t="s">
        <v>32</v>
      </c>
      <c r="AB1" s="7" t="s">
        <v>33</v>
      </c>
      <c r="AC1" s="7" t="s">
        <v>34</v>
      </c>
      <c r="AD1" s="7" t="s">
        <v>271</v>
      </c>
      <c r="AE1" s="7" t="s">
        <v>272</v>
      </c>
      <c r="AF1" s="7" t="s">
        <v>274</v>
      </c>
      <c r="AG1" s="7" t="s">
        <v>276</v>
      </c>
      <c r="AH1" s="7" t="s">
        <v>278</v>
      </c>
      <c r="AI1" s="6" t="s">
        <v>280</v>
      </c>
      <c r="AJ1" s="6" t="s">
        <v>281</v>
      </c>
      <c r="AK1" s="7" t="s">
        <v>289</v>
      </c>
      <c r="AL1" s="7" t="s">
        <v>290</v>
      </c>
      <c r="AM1" s="7" t="s">
        <v>291</v>
      </c>
      <c r="AN1" s="6" t="s">
        <v>292</v>
      </c>
      <c r="AO1" s="6" t="s">
        <v>293</v>
      </c>
      <c r="AP1" s="7" t="s">
        <v>329</v>
      </c>
      <c r="AQ1" s="7" t="s">
        <v>330</v>
      </c>
      <c r="AR1" s="7" t="s">
        <v>331</v>
      </c>
      <c r="AS1" s="6" t="s">
        <v>332</v>
      </c>
      <c r="AT1" s="6" t="s">
        <v>333</v>
      </c>
      <c r="AU1" s="342" t="s">
        <v>448</v>
      </c>
      <c r="AV1" s="7" t="s">
        <v>451</v>
      </c>
      <c r="AW1" s="7" t="s">
        <v>453</v>
      </c>
      <c r="AX1" s="7" t="s">
        <v>454</v>
      </c>
      <c r="AY1" s="6" t="s">
        <v>457</v>
      </c>
      <c r="AZ1" s="7" t="s">
        <v>495</v>
      </c>
      <c r="BA1" s="7" t="s">
        <v>554</v>
      </c>
      <c r="BB1" s="7" t="s">
        <v>561</v>
      </c>
      <c r="BC1" s="7" t="s">
        <v>570</v>
      </c>
      <c r="BD1" s="6" t="s">
        <v>574</v>
      </c>
      <c r="BE1" s="7" t="s">
        <v>595</v>
      </c>
      <c r="BF1" s="7" t="s">
        <v>605</v>
      </c>
      <c r="BG1" s="7" t="s">
        <v>617</v>
      </c>
      <c r="BH1" s="7" t="s">
        <v>619</v>
      </c>
      <c r="BI1" s="7" t="s">
        <v>620</v>
      </c>
    </row>
    <row r="2" spans="1:61" ht="25.5">
      <c r="A2" s="30" t="s">
        <v>497</v>
      </c>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6"/>
      <c r="AJ2" s="326"/>
      <c r="AK2" s="327"/>
      <c r="AL2" s="327"/>
      <c r="AM2" s="327"/>
      <c r="AN2" s="326"/>
      <c r="AO2" s="326"/>
      <c r="AP2" s="327"/>
      <c r="AQ2" s="327"/>
      <c r="AR2" s="327"/>
      <c r="AS2" s="326"/>
      <c r="AT2" s="326"/>
      <c r="AU2" s="453"/>
      <c r="AV2" s="420"/>
      <c r="AW2" s="420"/>
      <c r="AX2" s="420"/>
      <c r="AY2" s="447"/>
      <c r="AZ2" s="420"/>
      <c r="BA2" s="420"/>
      <c r="BB2" s="420"/>
      <c r="BC2" s="420"/>
      <c r="BD2" s="447"/>
      <c r="BE2" s="420"/>
      <c r="BF2" s="420"/>
      <c r="BG2" s="420"/>
      <c r="BH2" s="515"/>
      <c r="BI2" s="515"/>
    </row>
    <row r="3" spans="1:61" ht="12.75">
      <c r="A3" s="40" t="s">
        <v>55</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6"/>
      <c r="AJ3" s="326"/>
      <c r="AK3" s="327"/>
      <c r="AL3" s="327"/>
      <c r="AM3" s="327"/>
      <c r="AN3" s="326"/>
      <c r="AO3" s="326"/>
      <c r="AP3" s="327"/>
      <c r="AQ3" s="327"/>
      <c r="AR3" s="327"/>
      <c r="AS3" s="326"/>
      <c r="AT3" s="326"/>
      <c r="AU3" s="445">
        <v>970</v>
      </c>
      <c r="AV3" s="415">
        <v>1272</v>
      </c>
      <c r="AW3" s="415">
        <v>1332</v>
      </c>
      <c r="AX3" s="415">
        <v>1215</v>
      </c>
      <c r="AY3" s="447">
        <v>4789</v>
      </c>
      <c r="AZ3" s="415">
        <v>1036</v>
      </c>
      <c r="BA3" s="415">
        <v>1211</v>
      </c>
      <c r="BB3" s="415">
        <v>1310</v>
      </c>
      <c r="BC3" s="415">
        <v>1277</v>
      </c>
      <c r="BD3" s="447">
        <f>SUM(AZ3:BC3)</f>
        <v>4834</v>
      </c>
      <c r="BE3" s="415">
        <v>988</v>
      </c>
      <c r="BF3" s="415">
        <v>1098</v>
      </c>
      <c r="BG3" s="415">
        <v>1187</v>
      </c>
      <c r="BH3" s="415">
        <v>1147</v>
      </c>
      <c r="BI3" s="415">
        <f>SUM(BE3:BH3)</f>
        <v>4420</v>
      </c>
    </row>
    <row r="4" spans="1:61" ht="12.75">
      <c r="A4" s="40" t="s">
        <v>56</v>
      </c>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6"/>
      <c r="AJ4" s="326"/>
      <c r="AK4" s="327"/>
      <c r="AL4" s="327"/>
      <c r="AM4" s="327"/>
      <c r="AN4" s="326"/>
      <c r="AO4" s="326"/>
      <c r="AP4" s="327"/>
      <c r="AQ4" s="327"/>
      <c r="AR4" s="327"/>
      <c r="AS4" s="326"/>
      <c r="AT4" s="326"/>
      <c r="AU4" s="445">
        <v>352</v>
      </c>
      <c r="AV4" s="415">
        <v>380</v>
      </c>
      <c r="AW4" s="415">
        <v>456</v>
      </c>
      <c r="AX4" s="415">
        <v>421</v>
      </c>
      <c r="AY4" s="447">
        <v>1609</v>
      </c>
      <c r="AZ4" s="415">
        <v>345</v>
      </c>
      <c r="BA4" s="415">
        <v>424</v>
      </c>
      <c r="BB4" s="415">
        <v>450</v>
      </c>
      <c r="BC4" s="415">
        <v>420</v>
      </c>
      <c r="BD4" s="447">
        <f>SUM(AZ4:BC4)</f>
        <v>1639</v>
      </c>
      <c r="BE4" s="415">
        <v>358</v>
      </c>
      <c r="BF4" s="415">
        <v>397</v>
      </c>
      <c r="BG4" s="415">
        <v>441</v>
      </c>
      <c r="BH4" s="415">
        <v>392</v>
      </c>
      <c r="BI4" s="415">
        <f>SUM(BE4:BH4)</f>
        <v>1588</v>
      </c>
    </row>
    <row r="5" spans="1:61" ht="12.75">
      <c r="A5" s="40" t="s">
        <v>413</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6"/>
      <c r="AJ5" s="326"/>
      <c r="AK5" s="327"/>
      <c r="AL5" s="327"/>
      <c r="AM5" s="327"/>
      <c r="AN5" s="326"/>
      <c r="AO5" s="326"/>
      <c r="AP5" s="327"/>
      <c r="AQ5" s="327"/>
      <c r="AR5" s="327"/>
      <c r="AS5" s="326"/>
      <c r="AT5" s="326"/>
      <c r="AU5" s="445">
        <v>497</v>
      </c>
      <c r="AV5" s="415">
        <v>538</v>
      </c>
      <c r="AW5" s="415">
        <v>689</v>
      </c>
      <c r="AX5" s="415">
        <v>504</v>
      </c>
      <c r="AY5" s="447">
        <v>2228</v>
      </c>
      <c r="AZ5" s="415">
        <v>456</v>
      </c>
      <c r="BA5" s="415">
        <v>490</v>
      </c>
      <c r="BB5" s="415">
        <v>558</v>
      </c>
      <c r="BC5" s="415">
        <v>523</v>
      </c>
      <c r="BD5" s="447">
        <f>SUM(AZ5:BC5)</f>
        <v>2027</v>
      </c>
      <c r="BE5" s="415">
        <v>421</v>
      </c>
      <c r="BF5" s="415">
        <v>432</v>
      </c>
      <c r="BG5" s="415">
        <v>561</v>
      </c>
      <c r="BH5" s="415">
        <v>423</v>
      </c>
      <c r="BI5" s="415">
        <f>SUM(BE5:BH5)</f>
        <v>1837</v>
      </c>
    </row>
    <row r="6" spans="1:61" ht="12.75">
      <c r="A6" s="40" t="s">
        <v>57</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6"/>
      <c r="AJ6" s="326"/>
      <c r="AK6" s="327"/>
      <c r="AL6" s="327"/>
      <c r="AM6" s="327"/>
      <c r="AN6" s="326"/>
      <c r="AO6" s="326"/>
      <c r="AP6" s="327"/>
      <c r="AQ6" s="327"/>
      <c r="AR6" s="327"/>
      <c r="AS6" s="326"/>
      <c r="AT6" s="326"/>
      <c r="AU6" s="445">
        <v>2573</v>
      </c>
      <c r="AV6" s="415">
        <v>2793</v>
      </c>
      <c r="AW6" s="415">
        <v>3256</v>
      </c>
      <c r="AX6" s="415">
        <v>3172</v>
      </c>
      <c r="AY6" s="447">
        <v>11794</v>
      </c>
      <c r="AZ6" s="415">
        <v>2786</v>
      </c>
      <c r="BA6" s="415">
        <v>3120</v>
      </c>
      <c r="BB6" s="415">
        <v>3080</v>
      </c>
      <c r="BC6" s="415">
        <v>3029</v>
      </c>
      <c r="BD6" s="447">
        <f>SUM(AZ6:BC6)</f>
        <v>12015</v>
      </c>
      <c r="BE6" s="415">
        <f>681+1844</f>
        <v>2525</v>
      </c>
      <c r="BF6" s="415">
        <f>642+1943</f>
        <v>2585</v>
      </c>
      <c r="BG6" s="415">
        <f>782+2259</f>
        <v>3041</v>
      </c>
      <c r="BH6" s="415">
        <f>775+2239</f>
        <v>3014</v>
      </c>
      <c r="BI6" s="415">
        <f>SUM(BE6:BH6)</f>
        <v>11165</v>
      </c>
    </row>
    <row r="7" spans="1:61" ht="12.75">
      <c r="A7" s="39" t="s">
        <v>205</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6"/>
      <c r="AJ7" s="326"/>
      <c r="AK7" s="327"/>
      <c r="AL7" s="327"/>
      <c r="AM7" s="327"/>
      <c r="AN7" s="326"/>
      <c r="AO7" s="326"/>
      <c r="AP7" s="327"/>
      <c r="AQ7" s="327"/>
      <c r="AR7" s="327"/>
      <c r="AS7" s="326"/>
      <c r="AT7" s="326"/>
      <c r="AU7" s="446">
        <f>SUM(AU3:AU6)</f>
        <v>4392</v>
      </c>
      <c r="AV7" s="416">
        <f>SUM(AV3:AV6)</f>
        <v>4983</v>
      </c>
      <c r="AW7" s="416">
        <f>SUM(AW3:AW6)</f>
        <v>5733</v>
      </c>
      <c r="AX7" s="416">
        <f aca="true" t="shared" si="0" ref="AX7:BG7">SUM(AX3:AX6)</f>
        <v>5312</v>
      </c>
      <c r="AY7" s="448">
        <f t="shared" si="0"/>
        <v>20420</v>
      </c>
      <c r="AZ7" s="416">
        <f t="shared" si="0"/>
        <v>4623</v>
      </c>
      <c r="BA7" s="416">
        <f t="shared" si="0"/>
        <v>5245</v>
      </c>
      <c r="BB7" s="416">
        <f t="shared" si="0"/>
        <v>5398</v>
      </c>
      <c r="BC7" s="416">
        <f t="shared" si="0"/>
        <v>5249</v>
      </c>
      <c r="BD7" s="448">
        <f>SUM(AZ7:BC7)</f>
        <v>20515</v>
      </c>
      <c r="BE7" s="416">
        <f t="shared" si="0"/>
        <v>4292</v>
      </c>
      <c r="BF7" s="416">
        <f t="shared" si="0"/>
        <v>4512</v>
      </c>
      <c r="BG7" s="416">
        <f t="shared" si="0"/>
        <v>5230</v>
      </c>
      <c r="BH7" s="416">
        <f>SUM(BH3:BH6)</f>
        <v>4976</v>
      </c>
      <c r="BI7" s="416">
        <f>SUM(BE7:BH7)</f>
        <v>19010</v>
      </c>
    </row>
    <row r="8" spans="1:61" ht="12.75">
      <c r="A8" s="24"/>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8"/>
      <c r="AJ8" s="38"/>
      <c r="AK8" s="37"/>
      <c r="AL8" s="37"/>
      <c r="AM8" s="37"/>
      <c r="AN8" s="38"/>
      <c r="AO8" s="38"/>
      <c r="AP8" s="37"/>
      <c r="AQ8" s="37"/>
      <c r="AR8" s="37"/>
      <c r="AS8" s="38"/>
      <c r="AT8" s="38"/>
      <c r="AU8" s="345"/>
      <c r="AV8" s="37"/>
      <c r="AW8" s="37"/>
      <c r="AX8" s="37"/>
      <c r="AY8" s="38"/>
      <c r="AZ8" s="37"/>
      <c r="BA8" s="37"/>
      <c r="BB8" s="37"/>
      <c r="BC8" s="37"/>
      <c r="BE8" s="37"/>
      <c r="BF8" s="37"/>
      <c r="BG8" s="37"/>
      <c r="BH8" s="516"/>
      <c r="BI8" s="516"/>
    </row>
    <row r="9" spans="1:61" ht="25.5">
      <c r="A9" s="30" t="s">
        <v>498</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6"/>
      <c r="AJ9" s="326"/>
      <c r="AK9" s="327"/>
      <c r="AL9" s="327"/>
      <c r="AM9" s="327"/>
      <c r="AN9" s="326"/>
      <c r="AO9" s="326"/>
      <c r="AP9" s="327"/>
      <c r="AQ9" s="327"/>
      <c r="AR9" s="327"/>
      <c r="AS9" s="326"/>
      <c r="AT9" s="326"/>
      <c r="AU9" s="453"/>
      <c r="AV9" s="420"/>
      <c r="AW9" s="420"/>
      <c r="AX9" s="420"/>
      <c r="AY9" s="259"/>
      <c r="AZ9" s="420"/>
      <c r="BA9" s="420"/>
      <c r="BB9" s="420"/>
      <c r="BC9" s="420"/>
      <c r="BD9" s="259"/>
      <c r="BE9" s="420"/>
      <c r="BF9" s="420"/>
      <c r="BG9" s="420"/>
      <c r="BH9" s="515"/>
      <c r="BI9" s="515"/>
    </row>
    <row r="10" spans="1:61" ht="12.75">
      <c r="A10" s="40" t="s">
        <v>499</v>
      </c>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6"/>
      <c r="AJ10" s="326"/>
      <c r="AK10" s="327"/>
      <c r="AL10" s="327"/>
      <c r="AM10" s="327"/>
      <c r="AN10" s="326"/>
      <c r="AO10" s="326"/>
      <c r="AP10" s="327"/>
      <c r="AQ10" s="327"/>
      <c r="AR10" s="327"/>
      <c r="AS10" s="326"/>
      <c r="AT10" s="326"/>
      <c r="AU10" s="449">
        <v>4041</v>
      </c>
      <c r="AV10" s="73">
        <v>4668</v>
      </c>
      <c r="AW10" s="73">
        <v>5355</v>
      </c>
      <c r="AX10" s="73">
        <v>4941</v>
      </c>
      <c r="AY10" s="447">
        <v>19005</v>
      </c>
      <c r="AZ10" s="73">
        <v>4231</v>
      </c>
      <c r="BA10" s="73">
        <v>4860</v>
      </c>
      <c r="BB10" s="73">
        <v>5031</v>
      </c>
      <c r="BC10" s="73">
        <v>4889</v>
      </c>
      <c r="BD10" s="447">
        <f>SUM(AZ10:BC10)</f>
        <v>19011</v>
      </c>
      <c r="BE10" s="73">
        <v>3964</v>
      </c>
      <c r="BF10" s="73">
        <v>4214</v>
      </c>
      <c r="BG10" s="73">
        <v>4955</v>
      </c>
      <c r="BH10" s="73">
        <v>4648</v>
      </c>
      <c r="BI10" s="73">
        <f>SUM(BE10:BH10)</f>
        <v>17781</v>
      </c>
    </row>
    <row r="11" spans="1:61" ht="12.75">
      <c r="A11" s="340" t="s">
        <v>500</v>
      </c>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6"/>
      <c r="AJ11" s="326"/>
      <c r="AK11" s="327"/>
      <c r="AL11" s="327"/>
      <c r="AM11" s="327"/>
      <c r="AN11" s="326"/>
      <c r="AO11" s="326"/>
      <c r="AP11" s="327"/>
      <c r="AQ11" s="327"/>
      <c r="AR11" s="327"/>
      <c r="AS11" s="326"/>
      <c r="AT11" s="326"/>
      <c r="AU11" s="449">
        <v>753</v>
      </c>
      <c r="AV11" s="73">
        <v>911</v>
      </c>
      <c r="AW11" s="73">
        <v>1002</v>
      </c>
      <c r="AX11" s="73">
        <v>879</v>
      </c>
      <c r="AY11" s="447">
        <v>3545</v>
      </c>
      <c r="AZ11" s="73">
        <v>764</v>
      </c>
      <c r="BA11" s="73">
        <v>892</v>
      </c>
      <c r="BB11" s="73">
        <v>990</v>
      </c>
      <c r="BC11" s="73">
        <v>861</v>
      </c>
      <c r="BD11" s="447">
        <f>SUM(AZ11:BC11)</f>
        <v>3507</v>
      </c>
      <c r="BE11" s="73">
        <v>737</v>
      </c>
      <c r="BF11" s="73">
        <v>849</v>
      </c>
      <c r="BG11" s="73">
        <v>948</v>
      </c>
      <c r="BH11" s="73">
        <v>841</v>
      </c>
      <c r="BI11" s="73">
        <f>SUM(BE11:BH11)</f>
        <v>3375</v>
      </c>
    </row>
    <row r="12" spans="1:61" ht="12.75">
      <c r="A12" s="40" t="s">
        <v>501</v>
      </c>
      <c r="B12" s="327"/>
      <c r="C12" s="327"/>
      <c r="D12" s="327"/>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6"/>
      <c r="AJ12" s="326"/>
      <c r="AK12" s="327"/>
      <c r="AL12" s="327"/>
      <c r="AM12" s="327"/>
      <c r="AN12" s="326"/>
      <c r="AO12" s="326"/>
      <c r="AP12" s="327"/>
      <c r="AQ12" s="327"/>
      <c r="AR12" s="327"/>
      <c r="AS12" s="326"/>
      <c r="AT12" s="326"/>
      <c r="AU12" s="449">
        <v>351</v>
      </c>
      <c r="AV12" s="73">
        <v>315</v>
      </c>
      <c r="AW12" s="73">
        <v>378</v>
      </c>
      <c r="AX12" s="73">
        <v>371</v>
      </c>
      <c r="AY12" s="447">
        <v>1415</v>
      </c>
      <c r="AZ12" s="73">
        <v>392</v>
      </c>
      <c r="BA12" s="73">
        <v>385</v>
      </c>
      <c r="BB12" s="73">
        <v>367</v>
      </c>
      <c r="BC12" s="73">
        <v>360</v>
      </c>
      <c r="BD12" s="447">
        <f>SUM(AZ12:BC12)</f>
        <v>1504</v>
      </c>
      <c r="BE12" s="73">
        <v>328</v>
      </c>
      <c r="BF12" s="73">
        <v>298</v>
      </c>
      <c r="BG12" s="73">
        <v>275</v>
      </c>
      <c r="BH12" s="73">
        <v>328</v>
      </c>
      <c r="BI12" s="73">
        <f>SUM(BE12:BH12)</f>
        <v>1229</v>
      </c>
    </row>
    <row r="13" spans="1:256" s="494" customFormat="1" ht="12.75">
      <c r="A13" s="39" t="s">
        <v>205</v>
      </c>
      <c r="B13" s="327"/>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6"/>
      <c r="AJ13" s="326"/>
      <c r="AK13" s="327"/>
      <c r="AL13" s="327"/>
      <c r="AM13" s="327"/>
      <c r="AN13" s="326"/>
      <c r="AO13" s="326"/>
      <c r="AP13" s="327"/>
      <c r="AQ13" s="327"/>
      <c r="AR13" s="327"/>
      <c r="AS13" s="326"/>
      <c r="AT13" s="326"/>
      <c r="AU13" s="450">
        <f aca="true" t="shared" si="1" ref="AU13:BG13">+AU10+AU12</f>
        <v>4392</v>
      </c>
      <c r="AV13" s="75">
        <f t="shared" si="1"/>
        <v>4983</v>
      </c>
      <c r="AW13" s="75">
        <f t="shared" si="1"/>
        <v>5733</v>
      </c>
      <c r="AX13" s="75">
        <f t="shared" si="1"/>
        <v>5312</v>
      </c>
      <c r="AY13" s="448">
        <f t="shared" si="1"/>
        <v>20420</v>
      </c>
      <c r="AZ13" s="75">
        <f t="shared" si="1"/>
        <v>4623</v>
      </c>
      <c r="BA13" s="75">
        <f t="shared" si="1"/>
        <v>5245</v>
      </c>
      <c r="BB13" s="75">
        <f t="shared" si="1"/>
        <v>5398</v>
      </c>
      <c r="BC13" s="75">
        <f t="shared" si="1"/>
        <v>5249</v>
      </c>
      <c r="BD13" s="448">
        <f t="shared" si="1"/>
        <v>20515</v>
      </c>
      <c r="BE13" s="75">
        <f t="shared" si="1"/>
        <v>4292</v>
      </c>
      <c r="BF13" s="75">
        <f t="shared" si="1"/>
        <v>4512</v>
      </c>
      <c r="BG13" s="75">
        <f t="shared" si="1"/>
        <v>5230</v>
      </c>
      <c r="BH13" s="75">
        <f>+BH10+BH12</f>
        <v>4976</v>
      </c>
      <c r="BI13" s="75">
        <f>SUM(BE13:BH13)</f>
        <v>19010</v>
      </c>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61" ht="12.75">
      <c r="A14" s="24"/>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8"/>
      <c r="AJ14" s="38"/>
      <c r="AK14" s="37"/>
      <c r="AL14" s="37"/>
      <c r="AM14" s="37"/>
      <c r="AN14" s="38"/>
      <c r="AO14" s="38"/>
      <c r="AP14" s="37"/>
      <c r="AQ14" s="37"/>
      <c r="AR14" s="37"/>
      <c r="AS14" s="38"/>
      <c r="AT14" s="38"/>
      <c r="AU14" s="345"/>
      <c r="AV14" s="37"/>
      <c r="AW14" s="37"/>
      <c r="AX14" s="37"/>
      <c r="AY14" s="38"/>
      <c r="AZ14" s="37"/>
      <c r="BA14" s="37"/>
      <c r="BB14" s="37"/>
      <c r="BC14" s="37"/>
      <c r="BE14" s="37"/>
      <c r="BF14" s="37"/>
      <c r="BG14" s="37"/>
      <c r="BH14" s="516"/>
      <c r="BI14" s="516"/>
    </row>
    <row r="15" spans="1:61" ht="12.75">
      <c r="A15" s="24"/>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8"/>
      <c r="AJ15" s="38"/>
      <c r="AK15" s="37"/>
      <c r="AL15" s="37"/>
      <c r="AM15" s="37"/>
      <c r="AN15" s="38"/>
      <c r="AO15" s="38"/>
      <c r="AP15" s="37"/>
      <c r="AQ15" s="37"/>
      <c r="AR15" s="37"/>
      <c r="AS15" s="38"/>
      <c r="AT15" s="38"/>
      <c r="AU15" s="345"/>
      <c r="AV15" s="37"/>
      <c r="AW15" s="37"/>
      <c r="AX15" s="37"/>
      <c r="AY15" s="38"/>
      <c r="AZ15" s="37"/>
      <c r="BA15" s="37"/>
      <c r="BB15" s="37"/>
      <c r="BC15" s="37"/>
      <c r="BE15" s="37"/>
      <c r="BF15" s="37"/>
      <c r="BG15" s="37"/>
      <c r="BH15" s="516"/>
      <c r="BI15" s="516"/>
    </row>
    <row r="16" spans="1:61" ht="12.75">
      <c r="A16" s="53" t="s">
        <v>370</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8"/>
      <c r="AJ16" s="38"/>
      <c r="AK16" s="37"/>
      <c r="AL16" s="37"/>
      <c r="AM16" s="37"/>
      <c r="AN16" s="38"/>
      <c r="AO16" s="38"/>
      <c r="AP16" s="37"/>
      <c r="AQ16" s="37"/>
      <c r="AR16" s="37"/>
      <c r="AS16" s="38"/>
      <c r="AT16" s="38"/>
      <c r="AU16" s="345"/>
      <c r="AV16" s="37"/>
      <c r="AW16" s="37"/>
      <c r="AX16" s="37"/>
      <c r="AY16" s="38"/>
      <c r="AZ16" s="37"/>
      <c r="BA16" s="37"/>
      <c r="BB16" s="37"/>
      <c r="BC16" s="37"/>
      <c r="BE16" s="37"/>
      <c r="BF16" s="37"/>
      <c r="BG16" s="37"/>
      <c r="BH16" s="516"/>
      <c r="BI16" s="516"/>
    </row>
    <row r="17" spans="1:61" ht="12.75">
      <c r="A17" s="31" t="s">
        <v>411</v>
      </c>
      <c r="B17" s="68">
        <v>226</v>
      </c>
      <c r="C17" s="68">
        <v>264</v>
      </c>
      <c r="D17" s="68">
        <v>255</v>
      </c>
      <c r="E17" s="68">
        <v>257</v>
      </c>
      <c r="F17" s="55">
        <f>+B17+C17+D17+E17</f>
        <v>1002</v>
      </c>
      <c r="G17" s="68">
        <v>244</v>
      </c>
      <c r="H17" s="68">
        <v>270</v>
      </c>
      <c r="I17" s="68">
        <v>244</v>
      </c>
      <c r="J17" s="68">
        <v>244</v>
      </c>
      <c r="K17" s="55">
        <f>+G17+H17+I17+J17</f>
        <v>1002</v>
      </c>
      <c r="L17" s="68">
        <v>245</v>
      </c>
      <c r="M17" s="68">
        <v>289</v>
      </c>
      <c r="N17" s="68">
        <v>250</v>
      </c>
      <c r="O17" s="68">
        <v>309</v>
      </c>
      <c r="P17" s="55">
        <v>1093</v>
      </c>
      <c r="Q17" s="68">
        <v>236</v>
      </c>
      <c r="R17" s="68">
        <v>240</v>
      </c>
      <c r="S17" s="68">
        <v>269</v>
      </c>
      <c r="T17" s="68">
        <v>235</v>
      </c>
      <c r="U17" s="55">
        <v>980</v>
      </c>
      <c r="V17" s="68">
        <v>210</v>
      </c>
      <c r="W17" s="68">
        <v>232</v>
      </c>
      <c r="X17" s="68">
        <v>235</v>
      </c>
      <c r="Y17" s="68">
        <v>231</v>
      </c>
      <c r="Z17" s="55">
        <v>908</v>
      </c>
      <c r="AA17" s="68">
        <v>184</v>
      </c>
      <c r="AB17" s="68">
        <v>206</v>
      </c>
      <c r="AC17" s="68">
        <v>232</v>
      </c>
      <c r="AD17" s="68">
        <v>230</v>
      </c>
      <c r="AE17" s="55">
        <v>852</v>
      </c>
      <c r="AF17" s="68">
        <v>188</v>
      </c>
      <c r="AG17" s="68">
        <v>222</v>
      </c>
      <c r="AH17" s="68">
        <v>205</v>
      </c>
      <c r="AI17" s="68">
        <v>185</v>
      </c>
      <c r="AJ17" s="55">
        <f aca="true" t="shared" si="2" ref="AJ17:AJ22">+AF17+AG17+AH17+AI17</f>
        <v>800</v>
      </c>
      <c r="AK17" s="68">
        <v>169</v>
      </c>
      <c r="AL17" s="68">
        <v>214</v>
      </c>
      <c r="AM17" s="68">
        <v>172</v>
      </c>
      <c r="AN17" s="68">
        <v>216</v>
      </c>
      <c r="AO17" s="55">
        <v>771</v>
      </c>
      <c r="AP17" s="68">
        <v>179</v>
      </c>
      <c r="AQ17" s="68">
        <v>196</v>
      </c>
      <c r="AR17" s="68">
        <v>337</v>
      </c>
      <c r="AS17" s="68">
        <v>340</v>
      </c>
      <c r="AT17" s="55">
        <v>1052</v>
      </c>
      <c r="AU17" s="454">
        <v>278</v>
      </c>
      <c r="AV17" s="68">
        <v>296</v>
      </c>
      <c r="AW17" s="68">
        <v>305</v>
      </c>
      <c r="AX17" s="68">
        <v>267</v>
      </c>
      <c r="AY17" s="447">
        <v>1146</v>
      </c>
      <c r="AZ17" s="415">
        <v>250</v>
      </c>
      <c r="BA17" s="415">
        <v>274</v>
      </c>
      <c r="BB17" s="415">
        <v>146</v>
      </c>
      <c r="BC17" s="415">
        <v>357</v>
      </c>
      <c r="BD17" s="447">
        <f aca="true" t="shared" si="3" ref="BD17:BD22">SUM(AZ17:BC17)</f>
        <v>1027</v>
      </c>
      <c r="BE17" s="415">
        <v>290</v>
      </c>
      <c r="BF17" s="415">
        <v>256</v>
      </c>
      <c r="BG17" s="415">
        <v>255</v>
      </c>
      <c r="BH17" s="415">
        <v>316</v>
      </c>
      <c r="BI17" s="415">
        <f aca="true" t="shared" si="4" ref="BI17:BI22">SUM(BE17:BH17)</f>
        <v>1117</v>
      </c>
    </row>
    <row r="18" spans="1:61" ht="12.75">
      <c r="A18" s="31" t="s">
        <v>45</v>
      </c>
      <c r="B18" s="68">
        <v>1510</v>
      </c>
      <c r="C18" s="68">
        <v>1463</v>
      </c>
      <c r="D18" s="68">
        <v>1423</v>
      </c>
      <c r="E18" s="68">
        <v>1444</v>
      </c>
      <c r="F18" s="55">
        <f>+B18+C18+D18+E18</f>
        <v>5840</v>
      </c>
      <c r="G18" s="68">
        <v>1276</v>
      </c>
      <c r="H18" s="68">
        <v>1143</v>
      </c>
      <c r="I18" s="68">
        <v>1436</v>
      </c>
      <c r="J18" s="68">
        <v>1134</v>
      </c>
      <c r="K18" s="55">
        <f>+G18+H18+I18+J18</f>
        <v>4989</v>
      </c>
      <c r="L18" s="68">
        <v>1256</v>
      </c>
      <c r="M18" s="68">
        <v>2542</v>
      </c>
      <c r="N18" s="68">
        <v>2976</v>
      </c>
      <c r="O18" s="68">
        <v>2621</v>
      </c>
      <c r="P18" s="55">
        <v>9395</v>
      </c>
      <c r="Q18" s="68">
        <v>2764</v>
      </c>
      <c r="R18" s="68">
        <v>2760</v>
      </c>
      <c r="S18" s="68">
        <v>2738</v>
      </c>
      <c r="T18" s="68">
        <v>2792</v>
      </c>
      <c r="U18" s="55">
        <v>11054</v>
      </c>
      <c r="V18" s="68">
        <v>2973</v>
      </c>
      <c r="W18" s="68">
        <v>2608</v>
      </c>
      <c r="X18" s="68">
        <v>3016</v>
      </c>
      <c r="Y18" s="68">
        <v>2906</v>
      </c>
      <c r="Z18" s="55">
        <v>11503</v>
      </c>
      <c r="AA18" s="68">
        <v>3071</v>
      </c>
      <c r="AB18" s="68">
        <v>2761</v>
      </c>
      <c r="AC18" s="68">
        <v>3082</v>
      </c>
      <c r="AD18" s="68">
        <v>2758</v>
      </c>
      <c r="AE18" s="55">
        <v>11673</v>
      </c>
      <c r="AF18" s="68">
        <v>2912</v>
      </c>
      <c r="AG18" s="68">
        <v>2895</v>
      </c>
      <c r="AH18" s="68">
        <v>3239</v>
      </c>
      <c r="AI18" s="68">
        <v>3441</v>
      </c>
      <c r="AJ18" s="55">
        <f t="shared" si="2"/>
        <v>12487</v>
      </c>
      <c r="AK18" s="68">
        <v>3740</v>
      </c>
      <c r="AL18" s="68">
        <v>3350</v>
      </c>
      <c r="AM18" s="68">
        <v>3546</v>
      </c>
      <c r="AN18" s="68">
        <v>3623</v>
      </c>
      <c r="AO18" s="55">
        <v>14259</v>
      </c>
      <c r="AP18" s="68">
        <v>3383</v>
      </c>
      <c r="AQ18" s="68">
        <v>3297</v>
      </c>
      <c r="AR18" s="68">
        <v>4640</v>
      </c>
      <c r="AS18" s="68">
        <v>4209</v>
      </c>
      <c r="AT18" s="55">
        <v>15529</v>
      </c>
      <c r="AU18" s="454">
        <v>4223</v>
      </c>
      <c r="AV18" s="68">
        <v>3967</v>
      </c>
      <c r="AW18" s="68">
        <v>4876</v>
      </c>
      <c r="AX18" s="68">
        <v>4043</v>
      </c>
      <c r="AY18" s="447">
        <v>17109</v>
      </c>
      <c r="AZ18" s="415">
        <v>4448</v>
      </c>
      <c r="BA18" s="415">
        <v>4496</v>
      </c>
      <c r="BB18" s="415">
        <v>4285</v>
      </c>
      <c r="BC18" s="415">
        <v>3939</v>
      </c>
      <c r="BD18" s="447">
        <f t="shared" si="3"/>
        <v>17168</v>
      </c>
      <c r="BE18" s="415">
        <v>4004</v>
      </c>
      <c r="BF18" s="415">
        <v>3361</v>
      </c>
      <c r="BG18" s="415">
        <v>4171</v>
      </c>
      <c r="BH18" s="415">
        <v>4061</v>
      </c>
      <c r="BI18" s="415">
        <f t="shared" si="4"/>
        <v>15597</v>
      </c>
    </row>
    <row r="19" spans="1:61" ht="12.75">
      <c r="A19" s="31" t="s">
        <v>46</v>
      </c>
      <c r="B19" s="68">
        <v>75</v>
      </c>
      <c r="C19" s="68">
        <v>60</v>
      </c>
      <c r="D19" s="68">
        <v>55</v>
      </c>
      <c r="E19" s="68">
        <v>69</v>
      </c>
      <c r="F19" s="55">
        <f>+B19+C19+D19+E19</f>
        <v>259</v>
      </c>
      <c r="G19" s="68">
        <v>72</v>
      </c>
      <c r="H19" s="68">
        <v>53</v>
      </c>
      <c r="I19" s="68">
        <v>40</v>
      </c>
      <c r="J19" s="68">
        <v>58</v>
      </c>
      <c r="K19" s="55">
        <f>+G19+H19+I19+J19</f>
        <v>223</v>
      </c>
      <c r="L19" s="68">
        <v>71</v>
      </c>
      <c r="M19" s="68">
        <v>52</v>
      </c>
      <c r="N19" s="68">
        <v>45</v>
      </c>
      <c r="O19" s="68">
        <v>52</v>
      </c>
      <c r="P19" s="55">
        <v>220</v>
      </c>
      <c r="Q19" s="68">
        <v>62</v>
      </c>
      <c r="R19" s="68">
        <v>65</v>
      </c>
      <c r="S19" s="68">
        <v>52</v>
      </c>
      <c r="T19" s="68">
        <v>52</v>
      </c>
      <c r="U19" s="55">
        <v>231</v>
      </c>
      <c r="V19" s="68">
        <v>58</v>
      </c>
      <c r="W19" s="68">
        <v>48</v>
      </c>
      <c r="X19" s="68">
        <v>54</v>
      </c>
      <c r="Y19" s="68">
        <v>50</v>
      </c>
      <c r="Z19" s="55">
        <v>210</v>
      </c>
      <c r="AA19" s="68">
        <v>52</v>
      </c>
      <c r="AB19" s="68">
        <v>57</v>
      </c>
      <c r="AC19" s="68">
        <v>55</v>
      </c>
      <c r="AD19" s="68">
        <v>50</v>
      </c>
      <c r="AE19" s="55">
        <v>214</v>
      </c>
      <c r="AF19" s="68">
        <v>43</v>
      </c>
      <c r="AG19" s="68">
        <v>39</v>
      </c>
      <c r="AH19" s="68">
        <v>39</v>
      </c>
      <c r="AI19" s="68">
        <v>41</v>
      </c>
      <c r="AJ19" s="55">
        <f t="shared" si="2"/>
        <v>162</v>
      </c>
      <c r="AK19" s="68">
        <v>34</v>
      </c>
      <c r="AL19" s="68">
        <v>44</v>
      </c>
      <c r="AM19" s="68">
        <v>63</v>
      </c>
      <c r="AN19" s="68">
        <v>56</v>
      </c>
      <c r="AO19" s="55">
        <v>197</v>
      </c>
      <c r="AP19" s="68">
        <v>49</v>
      </c>
      <c r="AQ19" s="68">
        <v>45</v>
      </c>
      <c r="AR19" s="68">
        <v>82</v>
      </c>
      <c r="AS19" s="68">
        <v>78</v>
      </c>
      <c r="AT19" s="55">
        <v>254</v>
      </c>
      <c r="AU19" s="454">
        <v>73</v>
      </c>
      <c r="AV19" s="68">
        <v>74</v>
      </c>
      <c r="AW19" s="68">
        <v>71</v>
      </c>
      <c r="AX19" s="68">
        <v>79</v>
      </c>
      <c r="AY19" s="447">
        <v>297</v>
      </c>
      <c r="AZ19" s="415">
        <v>76</v>
      </c>
      <c r="BA19" s="415">
        <v>65</v>
      </c>
      <c r="BB19" s="415">
        <v>33</v>
      </c>
      <c r="BC19" s="415">
        <v>102</v>
      </c>
      <c r="BD19" s="447">
        <f t="shared" si="3"/>
        <v>276</v>
      </c>
      <c r="BE19" s="415">
        <v>78</v>
      </c>
      <c r="BF19" s="415">
        <v>74</v>
      </c>
      <c r="BG19" s="415">
        <v>54</v>
      </c>
      <c r="BH19" s="415">
        <v>69</v>
      </c>
      <c r="BI19" s="415">
        <f t="shared" si="4"/>
        <v>275</v>
      </c>
    </row>
    <row r="20" spans="1:61" ht="12.75">
      <c r="A20" s="31" t="s">
        <v>47</v>
      </c>
      <c r="B20" s="68">
        <v>159</v>
      </c>
      <c r="C20" s="68">
        <v>142</v>
      </c>
      <c r="D20" s="68">
        <v>190</v>
      </c>
      <c r="E20" s="68">
        <v>282</v>
      </c>
      <c r="F20" s="55">
        <f>+B20+C20+D20+E20</f>
        <v>773</v>
      </c>
      <c r="G20" s="68">
        <v>357</v>
      </c>
      <c r="H20" s="68">
        <v>288</v>
      </c>
      <c r="I20" s="68">
        <v>278</v>
      </c>
      <c r="J20" s="68">
        <v>279</v>
      </c>
      <c r="K20" s="55">
        <f>+G20+H20+I20+J20</f>
        <v>1202</v>
      </c>
      <c r="L20" s="68">
        <v>248</v>
      </c>
      <c r="M20" s="68">
        <v>377</v>
      </c>
      <c r="N20" s="68">
        <v>416</v>
      </c>
      <c r="O20" s="68">
        <v>458</v>
      </c>
      <c r="P20" s="55">
        <v>1499</v>
      </c>
      <c r="Q20" s="68">
        <v>462</v>
      </c>
      <c r="R20" s="68">
        <v>417</v>
      </c>
      <c r="S20" s="68">
        <v>500</v>
      </c>
      <c r="T20" s="68">
        <v>554</v>
      </c>
      <c r="U20" s="55">
        <v>1933</v>
      </c>
      <c r="V20" s="68">
        <v>609</v>
      </c>
      <c r="W20" s="68">
        <v>552</v>
      </c>
      <c r="X20" s="68">
        <v>582</v>
      </c>
      <c r="Y20" s="68">
        <v>689</v>
      </c>
      <c r="Z20" s="55">
        <v>2433</v>
      </c>
      <c r="AA20" s="68">
        <v>633</v>
      </c>
      <c r="AB20" s="68">
        <v>551</v>
      </c>
      <c r="AC20" s="68">
        <v>576</v>
      </c>
      <c r="AD20" s="68">
        <v>612</v>
      </c>
      <c r="AE20" s="55">
        <v>2371</v>
      </c>
      <c r="AF20" s="68">
        <v>660</v>
      </c>
      <c r="AG20" s="68">
        <v>636</v>
      </c>
      <c r="AH20" s="68">
        <v>723</v>
      </c>
      <c r="AI20" s="68">
        <v>835</v>
      </c>
      <c r="AJ20" s="55">
        <f t="shared" si="2"/>
        <v>2854</v>
      </c>
      <c r="AK20" s="68">
        <v>833</v>
      </c>
      <c r="AL20" s="68">
        <v>648</v>
      </c>
      <c r="AM20" s="68">
        <v>750</v>
      </c>
      <c r="AN20" s="68">
        <v>683</v>
      </c>
      <c r="AO20" s="55">
        <v>2914</v>
      </c>
      <c r="AP20" s="68">
        <v>631</v>
      </c>
      <c r="AQ20" s="68">
        <v>646</v>
      </c>
      <c r="AR20" s="68">
        <v>765</v>
      </c>
      <c r="AS20" s="68">
        <v>823</v>
      </c>
      <c r="AT20" s="55">
        <v>2865</v>
      </c>
      <c r="AU20" s="454">
        <v>803</v>
      </c>
      <c r="AV20" s="68">
        <v>826</v>
      </c>
      <c r="AW20" s="68">
        <v>854</v>
      </c>
      <c r="AX20" s="68">
        <v>799</v>
      </c>
      <c r="AY20" s="447">
        <v>3282</v>
      </c>
      <c r="AZ20" s="415">
        <v>821</v>
      </c>
      <c r="BA20" s="415">
        <v>834</v>
      </c>
      <c r="BB20" s="415">
        <v>847</v>
      </c>
      <c r="BC20" s="415">
        <v>829</v>
      </c>
      <c r="BD20" s="447">
        <f t="shared" si="3"/>
        <v>3331</v>
      </c>
      <c r="BE20" s="415">
        <v>735</v>
      </c>
      <c r="BF20" s="415">
        <v>831</v>
      </c>
      <c r="BG20" s="415">
        <v>820</v>
      </c>
      <c r="BH20" s="415">
        <v>862</v>
      </c>
      <c r="BI20" s="415">
        <f t="shared" si="4"/>
        <v>3248</v>
      </c>
    </row>
    <row r="21" spans="1:61" ht="12.75">
      <c r="A21" s="44" t="s">
        <v>54</v>
      </c>
      <c r="B21" s="61">
        <f aca="true" t="shared" si="5" ref="B21:K21">+B17+B18+B19+B20</f>
        <v>1970</v>
      </c>
      <c r="C21" s="61">
        <f t="shared" si="5"/>
        <v>1929</v>
      </c>
      <c r="D21" s="61">
        <f t="shared" si="5"/>
        <v>1923</v>
      </c>
      <c r="E21" s="61">
        <f t="shared" si="5"/>
        <v>2052</v>
      </c>
      <c r="F21" s="42">
        <f t="shared" si="5"/>
        <v>7874</v>
      </c>
      <c r="G21" s="61">
        <f t="shared" si="5"/>
        <v>1949</v>
      </c>
      <c r="H21" s="61">
        <f t="shared" si="5"/>
        <v>1754</v>
      </c>
      <c r="I21" s="61">
        <f t="shared" si="5"/>
        <v>1998</v>
      </c>
      <c r="J21" s="61">
        <f t="shared" si="5"/>
        <v>1715</v>
      </c>
      <c r="K21" s="42">
        <f t="shared" si="5"/>
        <v>7416</v>
      </c>
      <c r="L21" s="61">
        <v>1820</v>
      </c>
      <c r="M21" s="61">
        <v>3260</v>
      </c>
      <c r="N21" s="61">
        <v>3687</v>
      </c>
      <c r="O21" s="61">
        <v>3440</v>
      </c>
      <c r="P21" s="42">
        <v>12207</v>
      </c>
      <c r="Q21" s="61">
        <v>3524</v>
      </c>
      <c r="R21" s="61">
        <v>3482</v>
      </c>
      <c r="S21" s="61">
        <v>3559</v>
      </c>
      <c r="T21" s="61">
        <v>3633</v>
      </c>
      <c r="U21" s="42">
        <v>14198</v>
      </c>
      <c r="V21" s="61">
        <v>3850</v>
      </c>
      <c r="W21" s="61">
        <v>3440</v>
      </c>
      <c r="X21" s="61">
        <v>3887</v>
      </c>
      <c r="Y21" s="61">
        <v>3876</v>
      </c>
      <c r="Z21" s="42">
        <v>15054</v>
      </c>
      <c r="AA21" s="61">
        <v>3940</v>
      </c>
      <c r="AB21" s="61">
        <v>3575</v>
      </c>
      <c r="AC21" s="61">
        <v>3945</v>
      </c>
      <c r="AD21" s="61">
        <v>3650</v>
      </c>
      <c r="AE21" s="42">
        <v>15110</v>
      </c>
      <c r="AF21" s="61">
        <f>SUM(AF17:AF20)</f>
        <v>3803</v>
      </c>
      <c r="AG21" s="61">
        <f>SUM(AG17:AG20)</f>
        <v>3792</v>
      </c>
      <c r="AH21" s="61">
        <f>SUM(AH17:AH20)</f>
        <v>4206</v>
      </c>
      <c r="AI21" s="61">
        <f>SUM(AI17:AI20)</f>
        <v>4502</v>
      </c>
      <c r="AJ21" s="42">
        <f t="shared" si="2"/>
        <v>16303</v>
      </c>
      <c r="AK21" s="61">
        <v>4776</v>
      </c>
      <c r="AL21" s="61">
        <v>4256</v>
      </c>
      <c r="AM21" s="61">
        <v>4531</v>
      </c>
      <c r="AN21" s="61">
        <v>4578</v>
      </c>
      <c r="AO21" s="42">
        <v>18141</v>
      </c>
      <c r="AP21" s="61">
        <v>4242</v>
      </c>
      <c r="AQ21" s="61">
        <v>4184</v>
      </c>
      <c r="AR21" s="61">
        <f>SUM(AR17:AR20)</f>
        <v>5824</v>
      </c>
      <c r="AS21" s="61">
        <v>5450</v>
      </c>
      <c r="AT21" s="42">
        <v>19700</v>
      </c>
      <c r="AU21" s="455">
        <f>SUM(AU17:AU20)</f>
        <v>5377</v>
      </c>
      <c r="AV21" s="61">
        <f>SUM(AV17:AV20)</f>
        <v>5163</v>
      </c>
      <c r="AW21" s="61">
        <f>SUM(AW17:AW20)</f>
        <v>6106</v>
      </c>
      <c r="AX21" s="61">
        <f>SUM(AX17:AX20)</f>
        <v>5188</v>
      </c>
      <c r="AY21" s="448">
        <v>21834</v>
      </c>
      <c r="AZ21" s="416">
        <f>SUM(AZ17:AZ20)</f>
        <v>5595</v>
      </c>
      <c r="BA21" s="416">
        <f>SUM(BA17:BA20)</f>
        <v>5669</v>
      </c>
      <c r="BB21" s="416">
        <f>SUM(BB17:BB20)</f>
        <v>5311</v>
      </c>
      <c r="BC21" s="416">
        <f>SUM(BC17:BC20)</f>
        <v>5227</v>
      </c>
      <c r="BD21" s="448">
        <f t="shared" si="3"/>
        <v>21802</v>
      </c>
      <c r="BE21" s="416">
        <f>SUM(BE17:BE20)</f>
        <v>5107</v>
      </c>
      <c r="BF21" s="416">
        <f>SUM(BF17:BF20)</f>
        <v>4522</v>
      </c>
      <c r="BG21" s="416">
        <f>SUM(BG17:BG20)</f>
        <v>5300</v>
      </c>
      <c r="BH21" s="416">
        <f>SUM(BH17:BH20)</f>
        <v>5308</v>
      </c>
      <c r="BI21" s="416">
        <f t="shared" si="4"/>
        <v>20237</v>
      </c>
    </row>
    <row r="22" spans="1:61" ht="25.5">
      <c r="A22" s="31" t="s">
        <v>412</v>
      </c>
      <c r="B22" s="63"/>
      <c r="C22" s="63"/>
      <c r="D22" s="63"/>
      <c r="E22" s="68"/>
      <c r="F22" s="55">
        <v>598</v>
      </c>
      <c r="G22" s="63"/>
      <c r="H22" s="63"/>
      <c r="I22" s="63"/>
      <c r="J22" s="68"/>
      <c r="K22" s="55">
        <v>1018</v>
      </c>
      <c r="L22" s="63">
        <v>243</v>
      </c>
      <c r="M22" s="63">
        <v>186</v>
      </c>
      <c r="N22" s="63">
        <v>187</v>
      </c>
      <c r="O22" s="68">
        <v>236</v>
      </c>
      <c r="P22" s="55">
        <v>852</v>
      </c>
      <c r="Q22" s="63">
        <v>189</v>
      </c>
      <c r="R22" s="63">
        <v>141</v>
      </c>
      <c r="S22" s="63">
        <v>152</v>
      </c>
      <c r="T22" s="68">
        <v>188</v>
      </c>
      <c r="U22" s="55">
        <v>670</v>
      </c>
      <c r="V22" s="63">
        <v>159</v>
      </c>
      <c r="W22" s="63">
        <v>127</v>
      </c>
      <c r="X22" s="63">
        <v>112</v>
      </c>
      <c r="Y22" s="68">
        <v>168</v>
      </c>
      <c r="Z22" s="55">
        <v>566</v>
      </c>
      <c r="AA22" s="63">
        <v>149</v>
      </c>
      <c r="AB22" s="63">
        <v>147</v>
      </c>
      <c r="AC22" s="63">
        <v>148</v>
      </c>
      <c r="AD22" s="68">
        <v>228</v>
      </c>
      <c r="AE22" s="55">
        <v>672</v>
      </c>
      <c r="AF22" s="63">
        <v>168</v>
      </c>
      <c r="AG22" s="63">
        <v>161</v>
      </c>
      <c r="AH22" s="63">
        <v>167</v>
      </c>
      <c r="AI22" s="68">
        <v>212</v>
      </c>
      <c r="AJ22" s="55">
        <f t="shared" si="2"/>
        <v>708</v>
      </c>
      <c r="AK22" s="63">
        <v>194</v>
      </c>
      <c r="AL22" s="63">
        <v>420</v>
      </c>
      <c r="AM22" s="63">
        <v>285</v>
      </c>
      <c r="AN22" s="68">
        <v>334</v>
      </c>
      <c r="AO22" s="55">
        <v>1233</v>
      </c>
      <c r="AP22" s="68">
        <v>290</v>
      </c>
      <c r="AQ22" s="63">
        <v>254</v>
      </c>
      <c r="AR22" s="68">
        <v>286</v>
      </c>
      <c r="AS22" s="68">
        <v>119</v>
      </c>
      <c r="AT22" s="55">
        <v>949</v>
      </c>
      <c r="AU22" s="454">
        <v>261</v>
      </c>
      <c r="AV22" s="230">
        <v>272</v>
      </c>
      <c r="AW22" s="230">
        <v>329</v>
      </c>
      <c r="AX22" s="230">
        <v>273</v>
      </c>
      <c r="AY22" s="447">
        <v>1135</v>
      </c>
      <c r="AZ22" s="415">
        <v>262</v>
      </c>
      <c r="BA22" s="415">
        <v>274</v>
      </c>
      <c r="BB22" s="415">
        <v>325</v>
      </c>
      <c r="BC22" s="415">
        <v>332</v>
      </c>
      <c r="BD22" s="447">
        <f t="shared" si="3"/>
        <v>1193</v>
      </c>
      <c r="BE22" s="415">
        <v>292</v>
      </c>
      <c r="BF22" s="415">
        <v>231</v>
      </c>
      <c r="BG22" s="415">
        <v>198</v>
      </c>
      <c r="BH22" s="415">
        <v>234</v>
      </c>
      <c r="BI22" s="415">
        <f t="shared" si="4"/>
        <v>955</v>
      </c>
    </row>
    <row r="23" spans="1:51" ht="12.75">
      <c r="A23" s="4" t="s">
        <v>364</v>
      </c>
      <c r="E23" s="15"/>
      <c r="F23" s="15"/>
      <c r="J23" s="15"/>
      <c r="K23" s="15"/>
      <c r="O23" s="15"/>
      <c r="P23" s="15"/>
      <c r="T23" s="15"/>
      <c r="U23" s="15"/>
      <c r="Y23" s="15"/>
      <c r="Z23" s="15"/>
      <c r="AD23" s="15"/>
      <c r="AE23" s="15"/>
      <c r="AI23" s="15"/>
      <c r="AJ23" s="15"/>
      <c r="AN23" s="15"/>
      <c r="AO23" s="15"/>
      <c r="AS23" s="15"/>
      <c r="AT23" s="15"/>
      <c r="AY23" s="15"/>
    </row>
    <row r="24" ht="12.75"/>
    <row r="25" spans="1:61" ht="12.75">
      <c r="A25" s="53" t="s">
        <v>371</v>
      </c>
      <c r="B25" s="7" t="s">
        <v>2</v>
      </c>
      <c r="C25" s="7" t="s">
        <v>3</v>
      </c>
      <c r="D25" s="7" t="s">
        <v>4</v>
      </c>
      <c r="E25" s="7" t="s">
        <v>5</v>
      </c>
      <c r="F25" s="7" t="s">
        <v>6</v>
      </c>
      <c r="G25" s="7" t="s">
        <v>12</v>
      </c>
      <c r="H25" s="7" t="s">
        <v>13</v>
      </c>
      <c r="I25" s="7" t="s">
        <v>14</v>
      </c>
      <c r="J25" s="7" t="s">
        <v>15</v>
      </c>
      <c r="K25" s="7" t="s">
        <v>16</v>
      </c>
      <c r="L25" s="7" t="s">
        <v>17</v>
      </c>
      <c r="M25" s="7" t="s">
        <v>18</v>
      </c>
      <c r="N25" s="7" t="s">
        <v>19</v>
      </c>
      <c r="O25" s="7" t="s">
        <v>20</v>
      </c>
      <c r="P25" s="7" t="s">
        <v>21</v>
      </c>
      <c r="Q25" s="7" t="s">
        <v>22</v>
      </c>
      <c r="R25" s="7" t="s">
        <v>23</v>
      </c>
      <c r="S25" s="7" t="s">
        <v>24</v>
      </c>
      <c r="T25" s="7" t="s">
        <v>25</v>
      </c>
      <c r="U25" s="7" t="s">
        <v>26</v>
      </c>
      <c r="V25" s="7" t="s">
        <v>27</v>
      </c>
      <c r="W25" s="7" t="s">
        <v>28</v>
      </c>
      <c r="X25" s="7" t="s">
        <v>29</v>
      </c>
      <c r="Y25" s="7" t="s">
        <v>30</v>
      </c>
      <c r="Z25" s="7" t="s">
        <v>31</v>
      </c>
      <c r="AA25" s="7" t="s">
        <v>32</v>
      </c>
      <c r="AB25" s="7" t="s">
        <v>33</v>
      </c>
      <c r="AC25" s="7" t="s">
        <v>34</v>
      </c>
      <c r="AD25" s="7" t="s">
        <v>271</v>
      </c>
      <c r="AE25" s="7" t="s">
        <v>272</v>
      </c>
      <c r="AF25" s="7" t="s">
        <v>274</v>
      </c>
      <c r="AG25" s="7" t="s">
        <v>276</v>
      </c>
      <c r="AH25" s="7" t="s">
        <v>278</v>
      </c>
      <c r="AI25" s="6" t="s">
        <v>280</v>
      </c>
      <c r="AJ25" s="6" t="s">
        <v>281</v>
      </c>
      <c r="AK25" s="7" t="s">
        <v>289</v>
      </c>
      <c r="AL25" s="7" t="s">
        <v>290</v>
      </c>
      <c r="AM25" s="7" t="s">
        <v>291</v>
      </c>
      <c r="AN25" s="6" t="s">
        <v>292</v>
      </c>
      <c r="AO25" s="6" t="s">
        <v>293</v>
      </c>
      <c r="AP25" s="7" t="s">
        <v>329</v>
      </c>
      <c r="AQ25" s="7" t="s">
        <v>330</v>
      </c>
      <c r="AR25" s="7" t="s">
        <v>331</v>
      </c>
      <c r="AS25" s="6" t="s">
        <v>332</v>
      </c>
      <c r="AT25" s="6" t="s">
        <v>333</v>
      </c>
      <c r="AU25" s="342" t="s">
        <v>448</v>
      </c>
      <c r="AV25" s="7" t="s">
        <v>451</v>
      </c>
      <c r="AW25" s="7" t="s">
        <v>453</v>
      </c>
      <c r="AX25" s="7" t="s">
        <v>454</v>
      </c>
      <c r="AY25" s="6" t="s">
        <v>457</v>
      </c>
      <c r="AZ25" s="7" t="s">
        <v>495</v>
      </c>
      <c r="BA25" s="7" t="s">
        <v>554</v>
      </c>
      <c r="BB25" s="7" t="s">
        <v>561</v>
      </c>
      <c r="BC25" s="7" t="s">
        <v>570</v>
      </c>
      <c r="BD25" s="493" t="s">
        <v>574</v>
      </c>
      <c r="BE25" s="7" t="str">
        <f>+BE1</f>
        <v>Q1 2012</v>
      </c>
      <c r="BF25" s="7" t="s">
        <v>605</v>
      </c>
      <c r="BG25" s="7" t="s">
        <v>617</v>
      </c>
      <c r="BH25" s="7" t="str">
        <f>+BH1</f>
        <v>Q4 2012</v>
      </c>
      <c r="BI25" s="7" t="str">
        <f>+BI1</f>
        <v>FY 2012</v>
      </c>
    </row>
    <row r="26" spans="1:61" ht="12.75">
      <c r="A26" s="50"/>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8"/>
      <c r="AJ26" s="18"/>
      <c r="AK26" s="19"/>
      <c r="AL26" s="19"/>
      <c r="AM26" s="19"/>
      <c r="AN26" s="18"/>
      <c r="AO26" s="18"/>
      <c r="AP26" s="19"/>
      <c r="AQ26" s="19"/>
      <c r="AR26" s="19"/>
      <c r="AS26" s="18"/>
      <c r="AT26" s="18"/>
      <c r="AU26" s="456"/>
      <c r="AV26" s="19"/>
      <c r="AW26" s="19"/>
      <c r="AX26" s="19"/>
      <c r="AY26" s="18"/>
      <c r="AZ26" s="417"/>
      <c r="BA26" s="417"/>
      <c r="BB26" s="417"/>
      <c r="BC26" s="417"/>
      <c r="BD26" s="18"/>
      <c r="BE26" s="417"/>
      <c r="BF26" s="417"/>
      <c r="BG26" s="417"/>
      <c r="BH26" s="518"/>
      <c r="BI26" s="518"/>
    </row>
    <row r="27" spans="1:61" ht="12.75">
      <c r="A27" s="40" t="s">
        <v>48</v>
      </c>
      <c r="B27" s="56"/>
      <c r="C27" s="56"/>
      <c r="D27" s="56"/>
      <c r="E27" s="56"/>
      <c r="F27" s="42">
        <v>1567</v>
      </c>
      <c r="G27" s="1"/>
      <c r="H27" s="1"/>
      <c r="I27" s="1"/>
      <c r="J27" s="1"/>
      <c r="K27" s="42">
        <v>1516</v>
      </c>
      <c r="L27" s="1"/>
      <c r="M27" s="1"/>
      <c r="N27" s="1"/>
      <c r="O27" s="1"/>
      <c r="P27" s="55">
        <v>2679</v>
      </c>
      <c r="Q27" s="68">
        <v>779</v>
      </c>
      <c r="R27" s="68">
        <v>717</v>
      </c>
      <c r="S27" s="68">
        <v>804</v>
      </c>
      <c r="T27" s="68">
        <v>806</v>
      </c>
      <c r="U27" s="55">
        <v>3106</v>
      </c>
      <c r="V27" s="68">
        <v>760</v>
      </c>
      <c r="W27" s="68">
        <v>680</v>
      </c>
      <c r="X27" s="68">
        <v>732</v>
      </c>
      <c r="Y27" s="68">
        <v>715</v>
      </c>
      <c r="Z27" s="55">
        <v>2888</v>
      </c>
      <c r="AA27" s="68">
        <v>693</v>
      </c>
      <c r="AB27" s="68">
        <v>708</v>
      </c>
      <c r="AC27" s="68">
        <v>721</v>
      </c>
      <c r="AD27" s="68">
        <v>618</v>
      </c>
      <c r="AE27" s="55">
        <v>2740</v>
      </c>
      <c r="AF27" s="68">
        <v>719</v>
      </c>
      <c r="AG27" s="68">
        <v>703</v>
      </c>
      <c r="AH27" s="68">
        <v>787</v>
      </c>
      <c r="AI27" s="68">
        <v>850</v>
      </c>
      <c r="AJ27" s="55">
        <f aca="true" t="shared" si="6" ref="AJ27:AJ39">+AF27+AG27+AH27+AI27</f>
        <v>3059</v>
      </c>
      <c r="AK27" s="68">
        <v>808</v>
      </c>
      <c r="AL27" s="68">
        <v>737</v>
      </c>
      <c r="AM27" s="68">
        <v>816</v>
      </c>
      <c r="AN27" s="68">
        <v>871</v>
      </c>
      <c r="AO27" s="55">
        <v>3232</v>
      </c>
      <c r="AP27" s="68">
        <v>758</v>
      </c>
      <c r="AQ27" s="68">
        <v>693</v>
      </c>
      <c r="AR27" s="68">
        <v>1211</v>
      </c>
      <c r="AS27" s="68">
        <v>1064</v>
      </c>
      <c r="AT27" s="55">
        <v>3726</v>
      </c>
      <c r="AU27" s="454">
        <v>976</v>
      </c>
      <c r="AV27" s="68">
        <v>860</v>
      </c>
      <c r="AW27" s="68">
        <v>1119</v>
      </c>
      <c r="AX27" s="68">
        <v>960</v>
      </c>
      <c r="AY27" s="447">
        <v>3915</v>
      </c>
      <c r="AZ27" s="73">
        <v>990</v>
      </c>
      <c r="BA27" s="73">
        <v>982</v>
      </c>
      <c r="BB27" s="73">
        <v>997</v>
      </c>
      <c r="BC27" s="73">
        <v>938</v>
      </c>
      <c r="BD27" s="447">
        <f>SUM(AZ27:BC27)</f>
        <v>3907</v>
      </c>
      <c r="BE27" s="73">
        <v>935</v>
      </c>
      <c r="BF27" s="73">
        <v>943</v>
      </c>
      <c r="BG27" s="73">
        <v>1057</v>
      </c>
      <c r="BH27" s="73">
        <v>1034</v>
      </c>
      <c r="BI27" s="73">
        <f>SUM(BE27:BH27)</f>
        <v>3969</v>
      </c>
    </row>
    <row r="28" spans="1:61" ht="12.75">
      <c r="A28" s="467" t="s">
        <v>569</v>
      </c>
      <c r="B28" s="56"/>
      <c r="C28" s="56"/>
      <c r="D28" s="56"/>
      <c r="E28" s="56"/>
      <c r="F28" s="2"/>
      <c r="G28" s="1"/>
      <c r="H28" s="1"/>
      <c r="I28" s="1"/>
      <c r="J28" s="1"/>
      <c r="K28" s="2"/>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68">
        <v>1651</v>
      </c>
      <c r="AM28" s="68">
        <v>1788</v>
      </c>
      <c r="AN28" s="68">
        <v>1746</v>
      </c>
      <c r="AO28" s="55">
        <v>6968</v>
      </c>
      <c r="AP28" s="68">
        <v>1591</v>
      </c>
      <c r="AQ28" s="68">
        <v>1720</v>
      </c>
      <c r="AR28" s="68">
        <v>2105</v>
      </c>
      <c r="AS28" s="68">
        <v>2022</v>
      </c>
      <c r="AT28" s="55">
        <v>7438</v>
      </c>
      <c r="AU28" s="454">
        <v>1796</v>
      </c>
      <c r="AV28" s="68">
        <v>1983</v>
      </c>
      <c r="AW28" s="68">
        <v>2338</v>
      </c>
      <c r="AX28" s="68">
        <v>1975</v>
      </c>
      <c r="AY28" s="447">
        <v>8092</v>
      </c>
      <c r="AZ28" s="73">
        <f>1985+270</f>
        <v>2255</v>
      </c>
      <c r="BA28" s="73">
        <f>2225+170</f>
        <v>2395</v>
      </c>
      <c r="BB28" s="73">
        <v>2280</v>
      </c>
      <c r="BC28" s="73">
        <v>2249</v>
      </c>
      <c r="BD28" s="447">
        <f aca="true" t="shared" si="7" ref="BD28:BD33">SUM(AZ28:BC28)</f>
        <v>9179</v>
      </c>
      <c r="BE28" s="73">
        <v>2198</v>
      </c>
      <c r="BF28" s="73">
        <v>1974</v>
      </c>
      <c r="BG28" s="73">
        <v>2368</v>
      </c>
      <c r="BH28" s="73">
        <v>2387</v>
      </c>
      <c r="BI28" s="73">
        <f>SUM(BE28:BH28)</f>
        <v>8927</v>
      </c>
    </row>
    <row r="29" spans="1:61" ht="12.75">
      <c r="A29" s="40" t="s">
        <v>303</v>
      </c>
      <c r="B29" s="56"/>
      <c r="C29" s="56"/>
      <c r="D29" s="56"/>
      <c r="E29" s="56"/>
      <c r="F29" s="2"/>
      <c r="G29" s="1"/>
      <c r="H29" s="1"/>
      <c r="I29" s="1"/>
      <c r="J29" s="1"/>
      <c r="K29" s="2"/>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68">
        <v>137</v>
      </c>
      <c r="AM29" s="68">
        <v>112</v>
      </c>
      <c r="AN29" s="68">
        <v>179</v>
      </c>
      <c r="AO29" s="55">
        <v>634</v>
      </c>
      <c r="AP29" s="68">
        <v>233</v>
      </c>
      <c r="AQ29" s="68">
        <v>76</v>
      </c>
      <c r="AR29" s="68">
        <v>167</v>
      </c>
      <c r="AS29" s="68">
        <v>157</v>
      </c>
      <c r="AT29" s="55">
        <v>633</v>
      </c>
      <c r="AU29" s="454">
        <v>387</v>
      </c>
      <c r="AV29" s="68">
        <v>118</v>
      </c>
      <c r="AW29" s="68">
        <v>170</v>
      </c>
      <c r="AX29" s="68">
        <v>210</v>
      </c>
      <c r="AY29" s="447">
        <v>885</v>
      </c>
      <c r="AZ29" s="318"/>
      <c r="BA29" s="318"/>
      <c r="BB29" s="318"/>
      <c r="BC29" s="318"/>
      <c r="BD29" s="318"/>
      <c r="BE29" s="318"/>
      <c r="BF29" s="318"/>
      <c r="BG29" s="318"/>
      <c r="BH29" s="318"/>
      <c r="BI29" s="318"/>
    </row>
    <row r="30" spans="1:61" ht="12.75">
      <c r="A30" s="40" t="s">
        <v>304</v>
      </c>
      <c r="B30" s="56"/>
      <c r="C30" s="56"/>
      <c r="D30" s="56"/>
      <c r="E30" s="56"/>
      <c r="F30" s="2"/>
      <c r="G30" s="1"/>
      <c r="H30" s="1"/>
      <c r="I30" s="1"/>
      <c r="J30" s="1"/>
      <c r="K30" s="2"/>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68">
        <v>94</v>
      </c>
      <c r="AM30" s="68">
        <v>98</v>
      </c>
      <c r="AN30" s="68">
        <v>71</v>
      </c>
      <c r="AO30" s="55">
        <v>353</v>
      </c>
      <c r="AP30" s="68">
        <v>63</v>
      </c>
      <c r="AQ30" s="68">
        <v>77</v>
      </c>
      <c r="AR30" s="68">
        <v>156</v>
      </c>
      <c r="AS30" s="68">
        <v>84</v>
      </c>
      <c r="AT30" s="55">
        <v>380</v>
      </c>
      <c r="AU30" s="454">
        <v>77</v>
      </c>
      <c r="AV30" s="68">
        <v>104</v>
      </c>
      <c r="AW30" s="68">
        <v>137</v>
      </c>
      <c r="AX30" s="68">
        <v>79</v>
      </c>
      <c r="AY30" s="447">
        <v>397</v>
      </c>
      <c r="AZ30" s="73">
        <v>82</v>
      </c>
      <c r="BA30" s="73">
        <v>120</v>
      </c>
      <c r="BB30" s="73">
        <v>134</v>
      </c>
      <c r="BC30" s="73">
        <v>96</v>
      </c>
      <c r="BD30" s="447">
        <f t="shared" si="7"/>
        <v>432</v>
      </c>
      <c r="BE30" s="73">
        <v>71</v>
      </c>
      <c r="BF30" s="73">
        <v>86</v>
      </c>
      <c r="BG30" s="73">
        <v>119</v>
      </c>
      <c r="BH30" s="73">
        <v>60</v>
      </c>
      <c r="BI30" s="73">
        <f>SUM(BE30:BH30)</f>
        <v>336</v>
      </c>
    </row>
    <row r="31" spans="1:61" ht="12.75">
      <c r="A31" s="40" t="s">
        <v>50</v>
      </c>
      <c r="B31" s="56"/>
      <c r="C31" s="56"/>
      <c r="D31" s="56"/>
      <c r="E31" s="56"/>
      <c r="F31" s="2"/>
      <c r="G31" s="1"/>
      <c r="H31" s="1"/>
      <c r="I31" s="1"/>
      <c r="J31" s="1"/>
      <c r="K31" s="2"/>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68">
        <v>379</v>
      </c>
      <c r="AM31" s="68">
        <v>398</v>
      </c>
      <c r="AN31" s="68">
        <v>456</v>
      </c>
      <c r="AO31" s="55">
        <v>1702</v>
      </c>
      <c r="AP31" s="68">
        <v>403</v>
      </c>
      <c r="AQ31" s="68">
        <v>339</v>
      </c>
      <c r="AR31" s="68">
        <v>393</v>
      </c>
      <c r="AS31" s="68">
        <v>465</v>
      </c>
      <c r="AT31" s="55">
        <v>1600</v>
      </c>
      <c r="AU31" s="454">
        <v>409</v>
      </c>
      <c r="AV31" s="68">
        <v>373</v>
      </c>
      <c r="AW31" s="68">
        <v>480</v>
      </c>
      <c r="AX31" s="68">
        <v>417</v>
      </c>
      <c r="AY31" s="447">
        <v>1679</v>
      </c>
      <c r="AZ31" s="73">
        <v>457</v>
      </c>
      <c r="BA31" s="73">
        <v>493</v>
      </c>
      <c r="BB31" s="73">
        <v>410</v>
      </c>
      <c r="BC31" s="73">
        <v>440</v>
      </c>
      <c r="BD31" s="447">
        <f t="shared" si="7"/>
        <v>1800</v>
      </c>
      <c r="BE31" s="73">
        <v>433</v>
      </c>
      <c r="BF31" s="73">
        <v>286</v>
      </c>
      <c r="BG31" s="73">
        <v>313</v>
      </c>
      <c r="BH31" s="73">
        <v>413</v>
      </c>
      <c r="BI31" s="73">
        <f>SUM(BE31:BH31)</f>
        <v>1445</v>
      </c>
    </row>
    <row r="32" spans="1:61" ht="12.75">
      <c r="A32" s="40" t="s">
        <v>305</v>
      </c>
      <c r="B32" s="56"/>
      <c r="C32" s="56"/>
      <c r="D32" s="56"/>
      <c r="E32" s="56"/>
      <c r="F32" s="2"/>
      <c r="G32" s="1"/>
      <c r="H32" s="1"/>
      <c r="I32" s="1"/>
      <c r="J32" s="1"/>
      <c r="K32" s="2"/>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68">
        <v>333</v>
      </c>
      <c r="AM32" s="68">
        <v>332</v>
      </c>
      <c r="AN32" s="68">
        <v>291</v>
      </c>
      <c r="AO32" s="55">
        <v>1162</v>
      </c>
      <c r="AP32" s="68">
        <v>205</v>
      </c>
      <c r="AQ32" s="68">
        <v>298</v>
      </c>
      <c r="AR32" s="68">
        <v>419</v>
      </c>
      <c r="AS32" s="68">
        <v>266</v>
      </c>
      <c r="AT32" s="55">
        <v>1188</v>
      </c>
      <c r="AU32" s="454">
        <v>214</v>
      </c>
      <c r="AV32" s="68">
        <v>356</v>
      </c>
      <c r="AW32" s="68">
        <v>413</v>
      </c>
      <c r="AX32" s="68">
        <v>257</v>
      </c>
      <c r="AY32" s="447">
        <v>1240</v>
      </c>
      <c r="AZ32" s="73">
        <v>219</v>
      </c>
      <c r="BA32" s="73">
        <v>321</v>
      </c>
      <c r="BB32" s="73">
        <v>363</v>
      </c>
      <c r="BC32" s="73">
        <v>355</v>
      </c>
      <c r="BD32" s="447">
        <f t="shared" si="7"/>
        <v>1258</v>
      </c>
      <c r="BE32" s="73">
        <v>171</v>
      </c>
      <c r="BF32" s="73">
        <v>259</v>
      </c>
      <c r="BG32" s="73">
        <v>273</v>
      </c>
      <c r="BH32" s="73">
        <v>248</v>
      </c>
      <c r="BI32" s="73">
        <f>SUM(BE32:BH32)</f>
        <v>951</v>
      </c>
    </row>
    <row r="33" spans="1:61" ht="12.75">
      <c r="A33" s="40" t="s">
        <v>51</v>
      </c>
      <c r="B33" s="56"/>
      <c r="C33" s="56"/>
      <c r="D33" s="56"/>
      <c r="E33" s="56"/>
      <c r="F33" s="2"/>
      <c r="G33" s="1"/>
      <c r="H33" s="1"/>
      <c r="I33" s="1"/>
      <c r="J33" s="1"/>
      <c r="K33" s="2"/>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68">
        <v>507</v>
      </c>
      <c r="AM33" s="68">
        <v>591</v>
      </c>
      <c r="AN33" s="68">
        <v>576</v>
      </c>
      <c r="AO33" s="55">
        <v>2380</v>
      </c>
      <c r="AP33" s="68">
        <v>640</v>
      </c>
      <c r="AQ33" s="68">
        <v>657</v>
      </c>
      <c r="AR33" s="68">
        <v>862</v>
      </c>
      <c r="AS33" s="68">
        <v>887</v>
      </c>
      <c r="AT33" s="55">
        <v>3046</v>
      </c>
      <c r="AU33" s="454">
        <v>1034</v>
      </c>
      <c r="AV33" s="68">
        <v>977</v>
      </c>
      <c r="AW33" s="68">
        <v>906</v>
      </c>
      <c r="AX33" s="68">
        <v>790</v>
      </c>
      <c r="AY33" s="447">
        <v>3707</v>
      </c>
      <c r="AZ33" s="73">
        <v>1032</v>
      </c>
      <c r="BA33" s="73">
        <v>824</v>
      </c>
      <c r="BB33" s="73">
        <v>627</v>
      </c>
      <c r="BC33" s="73">
        <f>126+113+430</f>
        <v>669</v>
      </c>
      <c r="BD33" s="447">
        <f t="shared" si="7"/>
        <v>3152</v>
      </c>
      <c r="BE33" s="73">
        <f>130+135+550</f>
        <v>815</v>
      </c>
      <c r="BF33" s="73">
        <f>121+43+352</f>
        <v>516</v>
      </c>
      <c r="BG33" s="73">
        <f>139+47+488</f>
        <v>674</v>
      </c>
      <c r="BH33" s="73">
        <f>123+149+372</f>
        <v>644</v>
      </c>
      <c r="BI33" s="73">
        <f>SUM(BE33:BH33)</f>
        <v>2649</v>
      </c>
    </row>
    <row r="34" spans="1:61" ht="12.75">
      <c r="A34" s="40" t="s">
        <v>49</v>
      </c>
      <c r="B34" s="56"/>
      <c r="C34" s="56"/>
      <c r="D34" s="56"/>
      <c r="E34" s="56"/>
      <c r="F34" s="42">
        <v>2393</v>
      </c>
      <c r="G34" s="1"/>
      <c r="H34" s="1"/>
      <c r="I34" s="1"/>
      <c r="J34" s="1"/>
      <c r="K34" s="42">
        <v>2701</v>
      </c>
      <c r="L34" s="1"/>
      <c r="M34" s="1"/>
      <c r="N34" s="1"/>
      <c r="O34" s="1"/>
      <c r="P34" s="55">
        <v>4554</v>
      </c>
      <c r="Q34" s="68">
        <v>1221</v>
      </c>
      <c r="R34" s="68">
        <v>1354</v>
      </c>
      <c r="S34" s="68">
        <v>1381</v>
      </c>
      <c r="T34" s="68">
        <v>1361</v>
      </c>
      <c r="U34" s="55">
        <v>5317</v>
      </c>
      <c r="V34" s="68">
        <v>1406</v>
      </c>
      <c r="W34" s="68">
        <v>1291</v>
      </c>
      <c r="X34" s="68">
        <v>1446</v>
      </c>
      <c r="Y34" s="68">
        <v>1463</v>
      </c>
      <c r="Z34" s="55">
        <v>5606</v>
      </c>
      <c r="AA34" s="68">
        <v>1457</v>
      </c>
      <c r="AB34" s="68">
        <v>1495</v>
      </c>
      <c r="AC34" s="68">
        <v>1570</v>
      </c>
      <c r="AD34" s="68">
        <v>1398</v>
      </c>
      <c r="AE34" s="55">
        <v>5920</v>
      </c>
      <c r="AF34" s="68">
        <v>1499</v>
      </c>
      <c r="AG34" s="68">
        <v>1445</v>
      </c>
      <c r="AH34" s="68">
        <v>1700</v>
      </c>
      <c r="AI34" s="68">
        <v>1785</v>
      </c>
      <c r="AJ34" s="55">
        <f t="shared" si="6"/>
        <v>6429</v>
      </c>
      <c r="AK34" s="68">
        <v>1989</v>
      </c>
      <c r="AL34" s="1"/>
      <c r="AM34" s="1"/>
      <c r="AN34" s="1"/>
      <c r="AO34" s="1"/>
      <c r="AP34" s="1"/>
      <c r="AQ34" s="1"/>
      <c r="AR34" s="1"/>
      <c r="AS34" s="1"/>
      <c r="AT34" s="1"/>
      <c r="AU34" s="352"/>
      <c r="AV34" s="1"/>
      <c r="AW34" s="1"/>
      <c r="AX34" s="1"/>
      <c r="AY34" s="447"/>
      <c r="AZ34" s="318"/>
      <c r="BA34" s="318"/>
      <c r="BB34" s="318"/>
      <c r="BC34" s="318"/>
      <c r="BD34" s="318"/>
      <c r="BE34" s="318"/>
      <c r="BF34" s="318"/>
      <c r="BG34" s="318"/>
      <c r="BH34" s="318"/>
      <c r="BI34" s="318"/>
    </row>
    <row r="35" spans="1:61" ht="12.75">
      <c r="A35" s="40" t="s">
        <v>50</v>
      </c>
      <c r="B35" s="56"/>
      <c r="C35" s="56"/>
      <c r="D35" s="56"/>
      <c r="E35" s="56"/>
      <c r="F35" s="55">
        <v>840</v>
      </c>
      <c r="G35" s="1"/>
      <c r="H35" s="1"/>
      <c r="I35" s="1"/>
      <c r="J35" s="1"/>
      <c r="K35" s="55">
        <v>792</v>
      </c>
      <c r="L35" s="1"/>
      <c r="M35" s="1"/>
      <c r="N35" s="1"/>
      <c r="O35" s="1"/>
      <c r="P35" s="55">
        <v>1338</v>
      </c>
      <c r="Q35" s="68">
        <v>370</v>
      </c>
      <c r="R35" s="68">
        <v>364</v>
      </c>
      <c r="S35" s="68">
        <v>334</v>
      </c>
      <c r="T35" s="68">
        <v>378</v>
      </c>
      <c r="U35" s="55">
        <v>1446</v>
      </c>
      <c r="V35" s="68">
        <v>451</v>
      </c>
      <c r="W35" s="68">
        <v>407</v>
      </c>
      <c r="X35" s="68">
        <v>418</v>
      </c>
      <c r="Y35" s="68">
        <v>455</v>
      </c>
      <c r="Z35" s="55">
        <v>1732</v>
      </c>
      <c r="AA35" s="68">
        <v>530</v>
      </c>
      <c r="AB35" s="68">
        <v>426</v>
      </c>
      <c r="AC35" s="68">
        <v>423</v>
      </c>
      <c r="AD35" s="68">
        <v>460</v>
      </c>
      <c r="AE35" s="55">
        <v>1838</v>
      </c>
      <c r="AF35" s="68">
        <v>428</v>
      </c>
      <c r="AG35" s="68">
        <v>459</v>
      </c>
      <c r="AH35" s="68">
        <v>456</v>
      </c>
      <c r="AI35" s="68">
        <v>455</v>
      </c>
      <c r="AJ35" s="55">
        <f t="shared" si="6"/>
        <v>1798</v>
      </c>
      <c r="AK35" s="68">
        <v>469</v>
      </c>
      <c r="AL35" s="1"/>
      <c r="AM35" s="1"/>
      <c r="AN35" s="1"/>
      <c r="AO35" s="1"/>
      <c r="AP35" s="1"/>
      <c r="AQ35" s="1"/>
      <c r="AR35" s="1"/>
      <c r="AS35" s="1"/>
      <c r="AT35" s="1"/>
      <c r="AU35" s="352"/>
      <c r="AV35" s="1"/>
      <c r="AW35" s="1"/>
      <c r="AX35" s="1"/>
      <c r="AY35" s="447"/>
      <c r="AZ35" s="318"/>
      <c r="BA35" s="318"/>
      <c r="BB35" s="318"/>
      <c r="BC35" s="318"/>
      <c r="BD35" s="318"/>
      <c r="BE35" s="318"/>
      <c r="BF35" s="318"/>
      <c r="BG35" s="318"/>
      <c r="BH35" s="318"/>
      <c r="BI35" s="318"/>
    </row>
    <row r="36" spans="1:61" ht="12.75">
      <c r="A36" s="40" t="s">
        <v>51</v>
      </c>
      <c r="B36" s="56"/>
      <c r="C36" s="56"/>
      <c r="D36" s="56"/>
      <c r="E36" s="56"/>
      <c r="F36" s="55">
        <v>2496</v>
      </c>
      <c r="G36" s="1"/>
      <c r="H36" s="1"/>
      <c r="I36" s="1"/>
      <c r="J36" s="1"/>
      <c r="K36" s="55">
        <v>1769</v>
      </c>
      <c r="L36" s="1"/>
      <c r="M36" s="1"/>
      <c r="N36" s="1"/>
      <c r="O36" s="1"/>
      <c r="P36" s="55">
        <v>2417</v>
      </c>
      <c r="Q36" s="68">
        <v>780</v>
      </c>
      <c r="R36" s="68">
        <v>715</v>
      </c>
      <c r="S36" s="68">
        <v>673</v>
      </c>
      <c r="T36" s="68">
        <v>674</v>
      </c>
      <c r="U36" s="55">
        <v>2842</v>
      </c>
      <c r="V36" s="68">
        <v>781</v>
      </c>
      <c r="W36" s="68">
        <v>675</v>
      </c>
      <c r="X36" s="68">
        <v>875</v>
      </c>
      <c r="Y36" s="68">
        <v>785</v>
      </c>
      <c r="Z36" s="55">
        <v>3116</v>
      </c>
      <c r="AA36" s="68">
        <v>783</v>
      </c>
      <c r="AB36" s="68">
        <v>535</v>
      </c>
      <c r="AC36" s="68">
        <v>831</v>
      </c>
      <c r="AD36" s="68">
        <v>750</v>
      </c>
      <c r="AE36" s="55">
        <v>2900</v>
      </c>
      <c r="AF36" s="68">
        <v>697</v>
      </c>
      <c r="AG36" s="68">
        <v>779</v>
      </c>
      <c r="AH36" s="68">
        <v>818</v>
      </c>
      <c r="AI36" s="68">
        <v>914</v>
      </c>
      <c r="AJ36" s="55">
        <f t="shared" si="6"/>
        <v>3208</v>
      </c>
      <c r="AK36" s="68">
        <v>1002</v>
      </c>
      <c r="AL36" s="1"/>
      <c r="AM36" s="1"/>
      <c r="AN36" s="1"/>
      <c r="AO36" s="1"/>
      <c r="AP36" s="1"/>
      <c r="AQ36" s="1"/>
      <c r="AR36" s="1"/>
      <c r="AS36" s="1"/>
      <c r="AT36" s="1"/>
      <c r="AU36" s="352"/>
      <c r="AV36" s="1"/>
      <c r="AW36" s="1"/>
      <c r="AX36" s="1"/>
      <c r="AY36" s="447"/>
      <c r="AZ36" s="318"/>
      <c r="BA36" s="318"/>
      <c r="BB36" s="318"/>
      <c r="BC36" s="318"/>
      <c r="BD36" s="318"/>
      <c r="BE36" s="318"/>
      <c r="BF36" s="318"/>
      <c r="BG36" s="318"/>
      <c r="BH36" s="318"/>
      <c r="BI36" s="318"/>
    </row>
    <row r="37" spans="1:61" ht="12.75">
      <c r="A37" s="39" t="s">
        <v>52</v>
      </c>
      <c r="B37" s="56"/>
      <c r="C37" s="56"/>
      <c r="D37" s="56"/>
      <c r="E37" s="56"/>
      <c r="F37" s="42">
        <v>7296</v>
      </c>
      <c r="G37" s="1"/>
      <c r="H37" s="1"/>
      <c r="I37" s="1"/>
      <c r="J37" s="1"/>
      <c r="K37" s="42">
        <v>6778</v>
      </c>
      <c r="L37" s="1"/>
      <c r="M37" s="1"/>
      <c r="N37" s="1"/>
      <c r="O37" s="1"/>
      <c r="P37" s="42">
        <v>10988</v>
      </c>
      <c r="Q37" s="61">
        <v>3150</v>
      </c>
      <c r="R37" s="61">
        <v>3150</v>
      </c>
      <c r="S37" s="61">
        <v>3192</v>
      </c>
      <c r="T37" s="61">
        <v>3219</v>
      </c>
      <c r="U37" s="42">
        <v>12711</v>
      </c>
      <c r="V37" s="61">
        <v>3398</v>
      </c>
      <c r="W37" s="61">
        <v>3053</v>
      </c>
      <c r="X37" s="61">
        <v>3471</v>
      </c>
      <c r="Y37" s="61">
        <v>3418</v>
      </c>
      <c r="Z37" s="42">
        <v>13342</v>
      </c>
      <c r="AA37" s="61">
        <v>3463</v>
      </c>
      <c r="AB37" s="61">
        <v>3164</v>
      </c>
      <c r="AC37" s="61">
        <v>3545</v>
      </c>
      <c r="AD37" s="61">
        <v>3226</v>
      </c>
      <c r="AE37" s="42">
        <v>13398</v>
      </c>
      <c r="AF37" s="61">
        <f>SUM(AF27:AF36)</f>
        <v>3343</v>
      </c>
      <c r="AG37" s="61">
        <f>SUM(AG27:AG36)</f>
        <v>3386</v>
      </c>
      <c r="AH37" s="61">
        <f>SUM(AH27:AH36)</f>
        <v>3761</v>
      </c>
      <c r="AI37" s="61">
        <f>SUM(AI27:AI36)</f>
        <v>4004</v>
      </c>
      <c r="AJ37" s="42">
        <f t="shared" si="6"/>
        <v>14494</v>
      </c>
      <c r="AK37" s="61">
        <v>4268</v>
      </c>
      <c r="AL37" s="61">
        <v>3838</v>
      </c>
      <c r="AM37" s="61">
        <v>4135</v>
      </c>
      <c r="AN37" s="61">
        <v>4190</v>
      </c>
      <c r="AO37" s="42">
        <v>16431</v>
      </c>
      <c r="AP37" s="68">
        <v>3893</v>
      </c>
      <c r="AQ37" s="61">
        <v>3860</v>
      </c>
      <c r="AR37" s="61">
        <f>SUM(AR27:AR36)</f>
        <v>5313</v>
      </c>
      <c r="AS37" s="61">
        <v>4945</v>
      </c>
      <c r="AT37" s="42">
        <v>18011</v>
      </c>
      <c r="AU37" s="455">
        <f>SUM(AU27:AU36)</f>
        <v>4893</v>
      </c>
      <c r="AV37" s="61">
        <f>SUM(AV27:AV36)</f>
        <v>4771</v>
      </c>
      <c r="AW37" s="61">
        <f>SUM(AW27:AW36)</f>
        <v>5563</v>
      </c>
      <c r="AX37" s="61">
        <f>SUM(AX27:AX36)</f>
        <v>4688</v>
      </c>
      <c r="AY37" s="448">
        <v>19915</v>
      </c>
      <c r="AZ37" s="75">
        <f aca="true" t="shared" si="8" ref="AZ37:BG37">SUM(AZ27:AZ36)</f>
        <v>5035</v>
      </c>
      <c r="BA37" s="75">
        <f t="shared" si="8"/>
        <v>5135</v>
      </c>
      <c r="BB37" s="75">
        <f t="shared" si="8"/>
        <v>4811</v>
      </c>
      <c r="BC37" s="75">
        <f t="shared" si="8"/>
        <v>4747</v>
      </c>
      <c r="BD37" s="448">
        <f t="shared" si="8"/>
        <v>19728</v>
      </c>
      <c r="BE37" s="75">
        <f t="shared" si="8"/>
        <v>4623</v>
      </c>
      <c r="BF37" s="75">
        <f t="shared" si="8"/>
        <v>4064</v>
      </c>
      <c r="BG37" s="75">
        <f t="shared" si="8"/>
        <v>4804</v>
      </c>
      <c r="BH37" s="75">
        <f>SUM(BH27:BH36)</f>
        <v>4786</v>
      </c>
      <c r="BI37" s="75">
        <f>SUM(BE37:BH37)</f>
        <v>18277</v>
      </c>
    </row>
    <row r="38" spans="1:61" ht="12.75">
      <c r="A38" s="40" t="s">
        <v>398</v>
      </c>
      <c r="B38" s="56"/>
      <c r="C38" s="56"/>
      <c r="D38" s="56"/>
      <c r="E38" s="56"/>
      <c r="F38" s="55">
        <v>136</v>
      </c>
      <c r="G38" s="1"/>
      <c r="H38" s="1"/>
      <c r="I38" s="1"/>
      <c r="J38" s="1"/>
      <c r="K38" s="55">
        <v>108</v>
      </c>
      <c r="L38" s="1"/>
      <c r="M38" s="1"/>
      <c r="N38" s="1"/>
      <c r="O38" s="1"/>
      <c r="P38" s="55"/>
      <c r="Q38" s="68"/>
      <c r="R38" s="68"/>
      <c r="S38" s="68"/>
      <c r="T38" s="68"/>
      <c r="U38" s="55"/>
      <c r="V38" s="68">
        <v>37</v>
      </c>
      <c r="W38" s="68">
        <v>43</v>
      </c>
      <c r="X38" s="68">
        <v>29</v>
      </c>
      <c r="Y38" s="68">
        <v>38</v>
      </c>
      <c r="Z38" s="55">
        <v>146</v>
      </c>
      <c r="AA38" s="68">
        <v>40</v>
      </c>
      <c r="AB38" s="68">
        <v>38</v>
      </c>
      <c r="AC38" s="68">
        <v>31</v>
      </c>
      <c r="AD38" s="68">
        <v>48</v>
      </c>
      <c r="AE38" s="55">
        <v>157</v>
      </c>
      <c r="AF38" s="68">
        <v>32</v>
      </c>
      <c r="AG38" s="68">
        <v>42</v>
      </c>
      <c r="AH38" s="68">
        <v>35</v>
      </c>
      <c r="AI38" s="68">
        <v>35</v>
      </c>
      <c r="AJ38" s="55">
        <f t="shared" si="6"/>
        <v>144</v>
      </c>
      <c r="AK38" s="68">
        <v>37</v>
      </c>
      <c r="AL38" s="68">
        <v>30</v>
      </c>
      <c r="AM38" s="68">
        <v>39</v>
      </c>
      <c r="AN38" s="68">
        <v>32</v>
      </c>
      <c r="AO38" s="55">
        <v>138</v>
      </c>
      <c r="AP38" s="68">
        <v>25</v>
      </c>
      <c r="AQ38" s="68">
        <v>11</v>
      </c>
      <c r="AR38" s="68">
        <v>65</v>
      </c>
      <c r="AS38" s="68">
        <v>43</v>
      </c>
      <c r="AT38" s="55">
        <v>144</v>
      </c>
      <c r="AU38" s="454">
        <v>33</v>
      </c>
      <c r="AV38" s="68">
        <v>34</v>
      </c>
      <c r="AW38" s="68">
        <v>51</v>
      </c>
      <c r="AX38" s="68">
        <v>37</v>
      </c>
      <c r="AY38" s="447">
        <v>155</v>
      </c>
      <c r="AZ38" s="73">
        <v>36</v>
      </c>
      <c r="BA38" s="73">
        <v>31</v>
      </c>
      <c r="BB38" s="73">
        <v>36</v>
      </c>
      <c r="BC38" s="73">
        <v>33</v>
      </c>
      <c r="BD38" s="447">
        <f>SUM(AZ38:BC38)</f>
        <v>136</v>
      </c>
      <c r="BE38" s="73">
        <v>25</v>
      </c>
      <c r="BF38" s="73">
        <v>29</v>
      </c>
      <c r="BG38" s="73">
        <v>32</v>
      </c>
      <c r="BH38" s="73">
        <v>37</v>
      </c>
      <c r="BI38" s="73">
        <f>SUM(BE38:BH38)</f>
        <v>123</v>
      </c>
    </row>
    <row r="39" spans="1:61" ht="12.75">
      <c r="A39" s="40" t="s">
        <v>399</v>
      </c>
      <c r="B39" s="56"/>
      <c r="C39" s="56"/>
      <c r="D39" s="56"/>
      <c r="E39" s="56"/>
      <c r="F39" s="55">
        <v>442</v>
      </c>
      <c r="G39" s="1"/>
      <c r="H39" s="1"/>
      <c r="I39" s="1"/>
      <c r="J39" s="1"/>
      <c r="K39" s="55">
        <v>530</v>
      </c>
      <c r="L39" s="1"/>
      <c r="M39" s="1"/>
      <c r="N39" s="1"/>
      <c r="O39" s="1"/>
      <c r="P39" s="55">
        <v>1219</v>
      </c>
      <c r="Q39" s="68">
        <v>374.0000000000009</v>
      </c>
      <c r="R39" s="68">
        <v>332</v>
      </c>
      <c r="S39" s="68">
        <v>367</v>
      </c>
      <c r="T39" s="68">
        <v>414</v>
      </c>
      <c r="U39" s="55">
        <v>1487</v>
      </c>
      <c r="V39" s="68">
        <v>415</v>
      </c>
      <c r="W39" s="68">
        <v>344</v>
      </c>
      <c r="X39" s="68">
        <v>387</v>
      </c>
      <c r="Y39" s="68">
        <v>420</v>
      </c>
      <c r="Z39" s="55">
        <v>1566</v>
      </c>
      <c r="AA39" s="68">
        <v>437</v>
      </c>
      <c r="AB39" s="68">
        <v>373</v>
      </c>
      <c r="AC39" s="68">
        <v>369</v>
      </c>
      <c r="AD39" s="68">
        <v>376</v>
      </c>
      <c r="AE39" s="55">
        <v>1555</v>
      </c>
      <c r="AF39" s="68">
        <v>428</v>
      </c>
      <c r="AG39" s="68">
        <v>364</v>
      </c>
      <c r="AH39" s="68">
        <v>410</v>
      </c>
      <c r="AI39" s="68">
        <v>463</v>
      </c>
      <c r="AJ39" s="55">
        <f t="shared" si="6"/>
        <v>1665</v>
      </c>
      <c r="AK39" s="68">
        <v>471</v>
      </c>
      <c r="AL39" s="68">
        <v>388</v>
      </c>
      <c r="AM39" s="68">
        <v>357</v>
      </c>
      <c r="AN39" s="68">
        <v>356</v>
      </c>
      <c r="AO39" s="55">
        <v>1572</v>
      </c>
      <c r="AP39" s="68">
        <v>324</v>
      </c>
      <c r="AQ39" s="68">
        <v>313</v>
      </c>
      <c r="AR39" s="68">
        <v>446</v>
      </c>
      <c r="AS39" s="68">
        <v>462</v>
      </c>
      <c r="AT39" s="55">
        <v>1545</v>
      </c>
      <c r="AU39" s="454">
        <v>451</v>
      </c>
      <c r="AV39" s="68">
        <v>358</v>
      </c>
      <c r="AW39" s="68">
        <v>492</v>
      </c>
      <c r="AX39" s="68">
        <v>463</v>
      </c>
      <c r="AY39" s="447">
        <v>1764</v>
      </c>
      <c r="AZ39" s="73">
        <v>524</v>
      </c>
      <c r="BA39" s="73">
        <v>503</v>
      </c>
      <c r="BB39" s="73">
        <v>464</v>
      </c>
      <c r="BC39" s="73">
        <v>447</v>
      </c>
      <c r="BD39" s="447">
        <f>SUM(AZ39:BC39)</f>
        <v>1938</v>
      </c>
      <c r="BE39" s="73">
        <v>459</v>
      </c>
      <c r="BF39" s="73">
        <v>429</v>
      </c>
      <c r="BG39" s="73">
        <v>464</v>
      </c>
      <c r="BH39" s="73">
        <v>485</v>
      </c>
      <c r="BI39" s="73">
        <f>SUM(BE39:BH39)</f>
        <v>1837</v>
      </c>
    </row>
    <row r="40" spans="1:61" ht="12.75" customHeight="1">
      <c r="A40" s="39" t="s">
        <v>53</v>
      </c>
      <c r="B40" s="56"/>
      <c r="C40" s="56"/>
      <c r="D40" s="56"/>
      <c r="E40" s="56"/>
      <c r="F40" s="42">
        <v>7874</v>
      </c>
      <c r="G40" s="1"/>
      <c r="H40" s="1"/>
      <c r="I40" s="1"/>
      <c r="J40" s="1"/>
      <c r="K40" s="42">
        <v>7416</v>
      </c>
      <c r="L40" s="1"/>
      <c r="M40" s="1"/>
      <c r="N40" s="1"/>
      <c r="O40" s="1"/>
      <c r="P40" s="42">
        <v>12207</v>
      </c>
      <c r="Q40" s="61">
        <v>3524</v>
      </c>
      <c r="R40" s="61">
        <v>3482</v>
      </c>
      <c r="S40" s="61">
        <v>3559</v>
      </c>
      <c r="T40" s="61">
        <v>3633</v>
      </c>
      <c r="U40" s="42">
        <v>14198</v>
      </c>
      <c r="V40" s="61">
        <v>3850</v>
      </c>
      <c r="W40" s="61">
        <v>3440</v>
      </c>
      <c r="X40" s="61">
        <v>3887</v>
      </c>
      <c r="Y40" s="61">
        <v>3876</v>
      </c>
      <c r="Z40" s="42">
        <v>15054</v>
      </c>
      <c r="AA40" s="61">
        <v>3940</v>
      </c>
      <c r="AB40" s="61">
        <v>3575</v>
      </c>
      <c r="AC40" s="61">
        <v>3945</v>
      </c>
      <c r="AD40" s="61">
        <v>3650</v>
      </c>
      <c r="AE40" s="42">
        <v>15110</v>
      </c>
      <c r="AF40" s="61">
        <f>+AF37+AF38+AF39</f>
        <v>3803</v>
      </c>
      <c r="AG40" s="61">
        <f>+AG37+AG38+AG39</f>
        <v>3792</v>
      </c>
      <c r="AH40" s="61">
        <f>+AH37+AH38+AH39</f>
        <v>4206</v>
      </c>
      <c r="AI40" s="61">
        <f>+AI37+AI38+AI39</f>
        <v>4502</v>
      </c>
      <c r="AJ40" s="42">
        <f>+AJ37+AJ38+AJ39</f>
        <v>16303</v>
      </c>
      <c r="AK40" s="61">
        <v>4776</v>
      </c>
      <c r="AL40" s="61">
        <v>4256</v>
      </c>
      <c r="AM40" s="61">
        <v>4531</v>
      </c>
      <c r="AN40" s="61">
        <v>4578</v>
      </c>
      <c r="AO40" s="42">
        <v>18141</v>
      </c>
      <c r="AP40" s="61">
        <v>4242</v>
      </c>
      <c r="AQ40" s="61">
        <v>4184</v>
      </c>
      <c r="AR40" s="61">
        <f>SUM(AR37:AR39)</f>
        <v>5824</v>
      </c>
      <c r="AS40" s="61">
        <v>5450</v>
      </c>
      <c r="AT40" s="42">
        <v>19700</v>
      </c>
      <c r="AU40" s="455">
        <f>SUM(AU37:AU39)</f>
        <v>5377</v>
      </c>
      <c r="AV40" s="61">
        <f>SUM(AV37:AV39)</f>
        <v>5163</v>
      </c>
      <c r="AW40" s="61">
        <f>SUM(AW37:AW39)</f>
        <v>6106</v>
      </c>
      <c r="AX40" s="61">
        <f>SUM(AX37:AX39)</f>
        <v>5188</v>
      </c>
      <c r="AY40" s="448">
        <v>21834</v>
      </c>
      <c r="AZ40" s="75">
        <f>SUM(AZ37:AZ39)</f>
        <v>5595</v>
      </c>
      <c r="BA40" s="75">
        <f>SUM(BA37:BA39)</f>
        <v>5669</v>
      </c>
      <c r="BB40" s="75">
        <f>SUM(BB37:BB39)</f>
        <v>5311</v>
      </c>
      <c r="BC40" s="75">
        <f>SUM(BC37:BC39)</f>
        <v>5227</v>
      </c>
      <c r="BD40" s="448">
        <f>SUM(AZ40:BC40)</f>
        <v>21802</v>
      </c>
      <c r="BE40" s="75">
        <f>SUM(BE37:BE39)</f>
        <v>5107</v>
      </c>
      <c r="BF40" s="75">
        <f>SUM(BF37:BF39)</f>
        <v>4522</v>
      </c>
      <c r="BG40" s="75">
        <f>SUM(BG37:BG39)</f>
        <v>5300</v>
      </c>
      <c r="BH40" s="75">
        <f>SUM(BH37:BH39)</f>
        <v>5308</v>
      </c>
      <c r="BI40" s="75">
        <f>SUM(BE40:BH40)</f>
        <v>20237</v>
      </c>
    </row>
    <row r="41" ht="25.5">
      <c r="A41" s="26" t="s">
        <v>397</v>
      </c>
    </row>
    <row r="42" spans="1:61" s="34" customFormat="1" ht="12.75" customHeight="1">
      <c r="A42" s="69"/>
      <c r="B42" s="77"/>
      <c r="C42" s="78"/>
      <c r="D42" s="77"/>
      <c r="E42" s="77"/>
      <c r="G42" s="77"/>
      <c r="H42" s="78"/>
      <c r="I42" s="77"/>
      <c r="J42" s="77"/>
      <c r="L42" s="77"/>
      <c r="M42" s="78"/>
      <c r="N42" s="77"/>
      <c r="O42" s="77"/>
      <c r="Q42" s="77"/>
      <c r="R42" s="78"/>
      <c r="S42" s="77"/>
      <c r="T42" s="77"/>
      <c r="V42" s="77"/>
      <c r="W42" s="78"/>
      <c r="X42" s="77"/>
      <c r="Y42" s="77"/>
      <c r="AA42" s="77"/>
      <c r="AB42" s="78"/>
      <c r="AC42" s="77"/>
      <c r="AD42" s="77"/>
      <c r="AF42" s="77"/>
      <c r="AG42" s="78"/>
      <c r="AH42" s="77"/>
      <c r="AI42" s="77"/>
      <c r="AK42" s="77"/>
      <c r="AL42" s="78"/>
      <c r="AM42" s="77"/>
      <c r="AN42" s="77"/>
      <c r="AP42" s="77"/>
      <c r="AQ42" s="78"/>
      <c r="AR42" s="77"/>
      <c r="AS42" s="77"/>
      <c r="AU42" s="457"/>
      <c r="AV42" s="77"/>
      <c r="AW42" s="77"/>
      <c r="AX42" s="77"/>
      <c r="AZ42" s="77"/>
      <c r="BA42" s="77"/>
      <c r="BB42" s="77"/>
      <c r="BC42" s="77"/>
      <c r="BE42" s="77"/>
      <c r="BF42" s="77"/>
      <c r="BG42" s="77"/>
      <c r="BH42" s="520"/>
      <c r="BI42" s="520"/>
    </row>
    <row r="43" spans="1:61" ht="12.75">
      <c r="A43" s="53" t="s">
        <v>404</v>
      </c>
      <c r="B43" s="7" t="s">
        <v>2</v>
      </c>
      <c r="C43" s="7" t="s">
        <v>3</v>
      </c>
      <c r="D43" s="7" t="s">
        <v>4</v>
      </c>
      <c r="E43" s="7" t="s">
        <v>5</v>
      </c>
      <c r="F43" s="7" t="s">
        <v>6</v>
      </c>
      <c r="G43" s="7" t="s">
        <v>12</v>
      </c>
      <c r="H43" s="7" t="s">
        <v>13</v>
      </c>
      <c r="I43" s="7" t="s">
        <v>14</v>
      </c>
      <c r="J43" s="7" t="s">
        <v>15</v>
      </c>
      <c r="K43" s="7" t="s">
        <v>16</v>
      </c>
      <c r="L43" s="7" t="s">
        <v>17</v>
      </c>
      <c r="M43" s="7" t="s">
        <v>18</v>
      </c>
      <c r="N43" s="7" t="s">
        <v>19</v>
      </c>
      <c r="O43" s="7" t="s">
        <v>20</v>
      </c>
      <c r="P43" s="7" t="s">
        <v>21</v>
      </c>
      <c r="Q43" s="7" t="s">
        <v>22</v>
      </c>
      <c r="R43" s="7" t="s">
        <v>23</v>
      </c>
      <c r="S43" s="7" t="s">
        <v>24</v>
      </c>
      <c r="T43" s="7" t="s">
        <v>25</v>
      </c>
      <c r="U43" s="7" t="s">
        <v>26</v>
      </c>
      <c r="V43" s="7" t="s">
        <v>27</v>
      </c>
      <c r="W43" s="7" t="s">
        <v>28</v>
      </c>
      <c r="X43" s="7" t="s">
        <v>29</v>
      </c>
      <c r="Y43" s="7" t="s">
        <v>30</v>
      </c>
      <c r="Z43" s="7" t="s">
        <v>31</v>
      </c>
      <c r="AA43" s="7" t="s">
        <v>32</v>
      </c>
      <c r="AB43" s="7" t="s">
        <v>33</v>
      </c>
      <c r="AC43" s="7" t="s">
        <v>34</v>
      </c>
      <c r="AD43" s="7" t="s">
        <v>271</v>
      </c>
      <c r="AE43" s="7" t="s">
        <v>272</v>
      </c>
      <c r="AF43" s="7" t="s">
        <v>274</v>
      </c>
      <c r="AG43" s="7" t="s">
        <v>276</v>
      </c>
      <c r="AH43" s="7" t="s">
        <v>278</v>
      </c>
      <c r="AI43" s="6" t="s">
        <v>280</v>
      </c>
      <c r="AJ43" s="6" t="s">
        <v>281</v>
      </c>
      <c r="AK43" s="7" t="s">
        <v>289</v>
      </c>
      <c r="AL43" s="7" t="s">
        <v>290</v>
      </c>
      <c r="AM43" s="7" t="s">
        <v>291</v>
      </c>
      <c r="AN43" s="6" t="s">
        <v>292</v>
      </c>
      <c r="AO43" s="6" t="s">
        <v>293</v>
      </c>
      <c r="AP43" s="7" t="s">
        <v>329</v>
      </c>
      <c r="AQ43" s="7" t="s">
        <v>330</v>
      </c>
      <c r="AR43" s="7" t="s">
        <v>331</v>
      </c>
      <c r="AS43" s="6" t="s">
        <v>332</v>
      </c>
      <c r="AT43" s="6" t="s">
        <v>333</v>
      </c>
      <c r="AU43" s="342" t="s">
        <v>448</v>
      </c>
      <c r="AV43" s="7" t="s">
        <v>451</v>
      </c>
      <c r="AW43" s="7" t="s">
        <v>453</v>
      </c>
      <c r="AX43" s="7" t="s">
        <v>454</v>
      </c>
      <c r="AY43" s="6" t="s">
        <v>457</v>
      </c>
      <c r="AZ43" s="327"/>
      <c r="BA43" s="327"/>
      <c r="BB43" s="327"/>
      <c r="BC43" s="327"/>
      <c r="BD43" s="327"/>
      <c r="BE43" s="327"/>
      <c r="BF43" s="327"/>
      <c r="BG43" s="327"/>
      <c r="BH43" s="521"/>
      <c r="BI43" s="521"/>
    </row>
    <row r="44" spans="1:61" ht="12.75">
      <c r="A44" s="32"/>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2"/>
      <c r="AJ44" s="52"/>
      <c r="AK44" s="51"/>
      <c r="AL44" s="51"/>
      <c r="AM44" s="51"/>
      <c r="AN44" s="52"/>
      <c r="AO44" s="52"/>
      <c r="AP44" s="51"/>
      <c r="AQ44" s="51"/>
      <c r="AR44" s="51"/>
      <c r="AS44" s="52"/>
      <c r="AT44" s="52"/>
      <c r="AU44" s="458"/>
      <c r="AV44" s="51"/>
      <c r="AW44" s="51"/>
      <c r="AX44" s="51"/>
      <c r="AY44" s="52"/>
      <c r="AZ44" s="339"/>
      <c r="BA44" s="339"/>
      <c r="BB44" s="339"/>
      <c r="BC44" s="339"/>
      <c r="BD44" s="339"/>
      <c r="BE44" s="339"/>
      <c r="BF44" s="339"/>
      <c r="BG44" s="339"/>
      <c r="BH44" s="522"/>
      <c r="BI44" s="522"/>
    </row>
    <row r="45" spans="1:61" ht="12.75">
      <c r="A45" s="40" t="s">
        <v>55</v>
      </c>
      <c r="B45" s="68">
        <v>1068</v>
      </c>
      <c r="C45" s="68">
        <v>1099</v>
      </c>
      <c r="D45" s="68">
        <v>1205</v>
      </c>
      <c r="E45" s="68">
        <v>1314</v>
      </c>
      <c r="F45" s="55">
        <v>4686</v>
      </c>
      <c r="G45" s="68">
        <v>900</v>
      </c>
      <c r="H45" s="68">
        <v>1018</v>
      </c>
      <c r="I45" s="68">
        <v>1189</v>
      </c>
      <c r="J45" s="68">
        <v>1162</v>
      </c>
      <c r="K45" s="55">
        <v>4269</v>
      </c>
      <c r="L45" s="68">
        <v>881</v>
      </c>
      <c r="M45" s="68">
        <v>1047</v>
      </c>
      <c r="N45" s="68">
        <v>1132</v>
      </c>
      <c r="O45" s="68">
        <v>1203</v>
      </c>
      <c r="P45" s="55">
        <v>4263</v>
      </c>
      <c r="Q45" s="68">
        <v>826</v>
      </c>
      <c r="R45" s="68">
        <v>989</v>
      </c>
      <c r="S45" s="68">
        <v>1108</v>
      </c>
      <c r="T45" s="68">
        <v>1159</v>
      </c>
      <c r="U45" s="55">
        <v>4082</v>
      </c>
      <c r="V45" s="68">
        <v>808</v>
      </c>
      <c r="W45" s="68">
        <v>1038</v>
      </c>
      <c r="X45" s="68">
        <v>1189</v>
      </c>
      <c r="Y45" s="68">
        <v>1221</v>
      </c>
      <c r="Z45" s="55">
        <v>4256</v>
      </c>
      <c r="AA45" s="68">
        <v>964</v>
      </c>
      <c r="AB45" s="68">
        <v>1206</v>
      </c>
      <c r="AC45" s="68">
        <v>1321</v>
      </c>
      <c r="AD45" s="68">
        <v>1313</v>
      </c>
      <c r="AE45" s="55">
        <v>4804</v>
      </c>
      <c r="AF45" s="68">
        <v>1017</v>
      </c>
      <c r="AG45" s="68">
        <v>1193</v>
      </c>
      <c r="AH45" s="68">
        <v>1377</v>
      </c>
      <c r="AI45" s="68">
        <f>1290-20</f>
        <v>1270</v>
      </c>
      <c r="AJ45" s="55">
        <f>SUM(AF45:AI45)</f>
        <v>4857</v>
      </c>
      <c r="AK45" s="68">
        <v>1055</v>
      </c>
      <c r="AL45" s="68">
        <v>1209</v>
      </c>
      <c r="AM45" s="68">
        <v>1324</v>
      </c>
      <c r="AN45" s="68">
        <v>1320</v>
      </c>
      <c r="AO45" s="55">
        <v>4908</v>
      </c>
      <c r="AP45" s="68">
        <v>1068</v>
      </c>
      <c r="AQ45" s="68">
        <v>1267</v>
      </c>
      <c r="AR45" s="68">
        <v>1299</v>
      </c>
      <c r="AS45" s="68">
        <v>1265</v>
      </c>
      <c r="AT45" s="55">
        <v>4899</v>
      </c>
      <c r="AU45" s="454">
        <v>866</v>
      </c>
      <c r="AV45" s="68">
        <v>1161</v>
      </c>
      <c r="AW45" s="68">
        <v>1212</v>
      </c>
      <c r="AX45" s="68">
        <v>1088</v>
      </c>
      <c r="AY45" s="447">
        <v>4327</v>
      </c>
      <c r="AZ45" s="318"/>
      <c r="BA45" s="318"/>
      <c r="BB45" s="318"/>
      <c r="BC45" s="318"/>
      <c r="BD45" s="318"/>
      <c r="BE45" s="318"/>
      <c r="BF45" s="318"/>
      <c r="BG45" s="318"/>
      <c r="BH45" s="519"/>
      <c r="BI45" s="519"/>
    </row>
    <row r="46" spans="1:61" ht="12.75">
      <c r="A46" s="40" t="s">
        <v>56</v>
      </c>
      <c r="B46" s="68"/>
      <c r="C46" s="68"/>
      <c r="D46" s="68"/>
      <c r="E46" s="68"/>
      <c r="F46" s="55"/>
      <c r="G46" s="68">
        <v>60</v>
      </c>
      <c r="H46" s="68">
        <v>73</v>
      </c>
      <c r="I46" s="68">
        <v>76</v>
      </c>
      <c r="J46" s="68">
        <v>50</v>
      </c>
      <c r="K46" s="55">
        <v>259</v>
      </c>
      <c r="L46" s="68">
        <v>32</v>
      </c>
      <c r="M46" s="68">
        <v>351</v>
      </c>
      <c r="N46" s="68">
        <v>407</v>
      </c>
      <c r="O46" s="68">
        <v>402</v>
      </c>
      <c r="P46" s="55">
        <v>1192</v>
      </c>
      <c r="Q46" s="68">
        <v>288</v>
      </c>
      <c r="R46" s="68">
        <v>377</v>
      </c>
      <c r="S46" s="68">
        <v>389</v>
      </c>
      <c r="T46" s="68">
        <v>357</v>
      </c>
      <c r="U46" s="55">
        <v>1411</v>
      </c>
      <c r="V46" s="68">
        <v>269</v>
      </c>
      <c r="W46" s="68">
        <v>351</v>
      </c>
      <c r="X46" s="68">
        <v>392</v>
      </c>
      <c r="Y46" s="68">
        <v>373</v>
      </c>
      <c r="Z46" s="55">
        <v>1385</v>
      </c>
      <c r="AA46" s="68">
        <v>284</v>
      </c>
      <c r="AB46" s="68">
        <v>385</v>
      </c>
      <c r="AC46" s="68">
        <v>419</v>
      </c>
      <c r="AD46" s="68">
        <v>384</v>
      </c>
      <c r="AE46" s="55">
        <v>1471</v>
      </c>
      <c r="AF46" s="68">
        <v>301</v>
      </c>
      <c r="AG46" s="68">
        <v>391</v>
      </c>
      <c r="AH46" s="68">
        <v>432</v>
      </c>
      <c r="AI46" s="68">
        <v>408</v>
      </c>
      <c r="AJ46" s="55">
        <f>SUM(AF46:AI46)</f>
        <v>1532</v>
      </c>
      <c r="AK46" s="68">
        <v>326</v>
      </c>
      <c r="AL46" s="68">
        <v>416</v>
      </c>
      <c r="AM46" s="68">
        <v>470</v>
      </c>
      <c r="AN46" s="68">
        <v>423</v>
      </c>
      <c r="AO46" s="55">
        <v>1635</v>
      </c>
      <c r="AP46" s="68">
        <v>268</v>
      </c>
      <c r="AQ46" s="68">
        <v>356</v>
      </c>
      <c r="AR46" s="68">
        <v>437</v>
      </c>
      <c r="AS46" s="68">
        <v>374</v>
      </c>
      <c r="AT46" s="55">
        <v>1435</v>
      </c>
      <c r="AU46" s="454">
        <v>331</v>
      </c>
      <c r="AV46" s="68">
        <v>361</v>
      </c>
      <c r="AW46" s="68">
        <v>436</v>
      </c>
      <c r="AX46" s="68">
        <v>399</v>
      </c>
      <c r="AY46" s="447">
        <v>1527</v>
      </c>
      <c r="AZ46" s="318"/>
      <c r="BA46" s="318"/>
      <c r="BB46" s="318"/>
      <c r="BC46" s="318"/>
      <c r="BD46" s="318"/>
      <c r="BE46" s="318"/>
      <c r="BF46" s="318"/>
      <c r="BG46" s="318"/>
      <c r="BH46" s="519"/>
      <c r="BI46" s="519"/>
    </row>
    <row r="47" spans="1:61" ht="12.75">
      <c r="A47" s="40" t="s">
        <v>413</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68">
        <v>878</v>
      </c>
      <c r="AS47" s="68">
        <v>675</v>
      </c>
      <c r="AT47" s="55">
        <v>1553</v>
      </c>
      <c r="AU47" s="454">
        <v>496</v>
      </c>
      <c r="AV47" s="68">
        <v>536</v>
      </c>
      <c r="AW47" s="68">
        <v>689</v>
      </c>
      <c r="AX47" s="68">
        <v>501</v>
      </c>
      <c r="AY47" s="447">
        <v>2222</v>
      </c>
      <c r="AZ47" s="318"/>
      <c r="BA47" s="318"/>
      <c r="BB47" s="318"/>
      <c r="BC47" s="318"/>
      <c r="BD47" s="318"/>
      <c r="BE47" s="318"/>
      <c r="BF47" s="318"/>
      <c r="BG47" s="318"/>
      <c r="BH47" s="519"/>
      <c r="BI47" s="519"/>
    </row>
    <row r="48" spans="1:61" ht="12.75">
      <c r="A48" s="40" t="s">
        <v>57</v>
      </c>
      <c r="B48" s="68">
        <v>571</v>
      </c>
      <c r="C48" s="68">
        <v>553</v>
      </c>
      <c r="D48" s="68">
        <v>633</v>
      </c>
      <c r="E48" s="68">
        <v>595</v>
      </c>
      <c r="F48" s="55">
        <v>2352</v>
      </c>
      <c r="G48" s="68">
        <v>574</v>
      </c>
      <c r="H48" s="68">
        <v>607</v>
      </c>
      <c r="I48" s="68">
        <v>662</v>
      </c>
      <c r="J48" s="68">
        <v>569</v>
      </c>
      <c r="K48" s="55">
        <v>2412</v>
      </c>
      <c r="L48" s="68">
        <v>528</v>
      </c>
      <c r="M48" s="68">
        <v>1344</v>
      </c>
      <c r="N48" s="68">
        <v>1485</v>
      </c>
      <c r="O48" s="68">
        <v>1424</v>
      </c>
      <c r="P48" s="55">
        <v>4781</v>
      </c>
      <c r="Q48" s="68">
        <v>1236</v>
      </c>
      <c r="R48" s="68">
        <v>1494</v>
      </c>
      <c r="S48" s="68">
        <v>1658</v>
      </c>
      <c r="T48" s="68">
        <v>1612</v>
      </c>
      <c r="U48" s="55">
        <v>6000</v>
      </c>
      <c r="V48" s="68">
        <v>1398</v>
      </c>
      <c r="W48" s="68">
        <v>1592</v>
      </c>
      <c r="X48" s="68">
        <v>1597</v>
      </c>
      <c r="Y48" s="68">
        <v>1526</v>
      </c>
      <c r="Z48" s="55">
        <v>6113</v>
      </c>
      <c r="AA48" s="68">
        <v>1390</v>
      </c>
      <c r="AB48" s="68">
        <v>1546</v>
      </c>
      <c r="AC48" s="68">
        <v>1535</v>
      </c>
      <c r="AD48" s="68">
        <v>1343</v>
      </c>
      <c r="AE48" s="55">
        <v>5814</v>
      </c>
      <c r="AF48" s="68">
        <v>1436</v>
      </c>
      <c r="AG48" s="68">
        <v>1590</v>
      </c>
      <c r="AH48" s="68">
        <v>1710</v>
      </c>
      <c r="AI48" s="68">
        <f>1717+252</f>
        <v>1969</v>
      </c>
      <c r="AJ48" s="55">
        <f>SUM(AF48:AI48)</f>
        <v>6705</v>
      </c>
      <c r="AK48" s="68">
        <v>2086</v>
      </c>
      <c r="AL48" s="68">
        <v>2399</v>
      </c>
      <c r="AM48" s="68">
        <v>2253</v>
      </c>
      <c r="AN48" s="68">
        <v>2273</v>
      </c>
      <c r="AO48" s="55">
        <v>9011</v>
      </c>
      <c r="AP48" s="68">
        <v>2176</v>
      </c>
      <c r="AQ48" s="68">
        <v>2104</v>
      </c>
      <c r="AR48" s="68">
        <v>2560</v>
      </c>
      <c r="AS48" s="68">
        <v>2672</v>
      </c>
      <c r="AT48" s="55">
        <v>9512</v>
      </c>
      <c r="AU48" s="454">
        <v>2348</v>
      </c>
      <c r="AV48" s="68">
        <v>2610</v>
      </c>
      <c r="AW48" s="68">
        <v>3018</v>
      </c>
      <c r="AX48" s="68">
        <v>2953</v>
      </c>
      <c r="AY48" s="447">
        <v>10929</v>
      </c>
      <c r="AZ48" s="318"/>
      <c r="BA48" s="318"/>
      <c r="BB48" s="318"/>
      <c r="BC48" s="318"/>
      <c r="BD48" s="318"/>
      <c r="BE48" s="318"/>
      <c r="BF48" s="318"/>
      <c r="BG48" s="318"/>
      <c r="BH48" s="519"/>
      <c r="BI48" s="519"/>
    </row>
    <row r="49" spans="1:61" ht="12.75">
      <c r="A49" s="39" t="s">
        <v>58</v>
      </c>
      <c r="B49" s="61">
        <v>1639</v>
      </c>
      <c r="C49" s="61">
        <v>1652</v>
      </c>
      <c r="D49" s="61">
        <v>1838</v>
      </c>
      <c r="E49" s="61">
        <v>1909</v>
      </c>
      <c r="F49" s="42">
        <v>7038</v>
      </c>
      <c r="G49" s="61">
        <v>1534</v>
      </c>
      <c r="H49" s="61">
        <v>1698</v>
      </c>
      <c r="I49" s="61">
        <v>1927</v>
      </c>
      <c r="J49" s="61">
        <v>1781</v>
      </c>
      <c r="K49" s="42">
        <v>6940</v>
      </c>
      <c r="L49" s="61">
        <v>1441</v>
      </c>
      <c r="M49" s="61">
        <v>2742</v>
      </c>
      <c r="N49" s="61">
        <v>3024</v>
      </c>
      <c r="O49" s="61">
        <v>3029</v>
      </c>
      <c r="P49" s="42">
        <v>10236</v>
      </c>
      <c r="Q49" s="61">
        <v>2350</v>
      </c>
      <c r="R49" s="61">
        <v>2860</v>
      </c>
      <c r="S49" s="61">
        <v>3155</v>
      </c>
      <c r="T49" s="61">
        <v>3128</v>
      </c>
      <c r="U49" s="42">
        <v>11493</v>
      </c>
      <c r="V49" s="61">
        <v>2475</v>
      </c>
      <c r="W49" s="61">
        <v>2981</v>
      </c>
      <c r="X49" s="61">
        <v>3178</v>
      </c>
      <c r="Y49" s="61">
        <v>3120</v>
      </c>
      <c r="Z49" s="42">
        <v>11754</v>
      </c>
      <c r="AA49" s="61">
        <v>2638</v>
      </c>
      <c r="AB49" s="61">
        <v>3137</v>
      </c>
      <c r="AC49" s="61">
        <v>3275</v>
      </c>
      <c r="AD49" s="61">
        <v>3040</v>
      </c>
      <c r="AE49" s="42">
        <v>12089</v>
      </c>
      <c r="AF49" s="61">
        <f>+AF45+AF46+AF48</f>
        <v>2754</v>
      </c>
      <c r="AG49" s="61">
        <f>+AG45+AG46+AG48</f>
        <v>3174</v>
      </c>
      <c r="AH49" s="61">
        <v>3519</v>
      </c>
      <c r="AI49" s="61">
        <f>SUM(AI45:AI48)</f>
        <v>3647</v>
      </c>
      <c r="AJ49" s="42">
        <f>SUM(AF49:AI49)</f>
        <v>13094</v>
      </c>
      <c r="AK49" s="61">
        <v>3468</v>
      </c>
      <c r="AL49" s="61">
        <v>4024</v>
      </c>
      <c r="AM49" s="61">
        <v>4047</v>
      </c>
      <c r="AN49" s="61">
        <v>4016</v>
      </c>
      <c r="AO49" s="42">
        <v>15554</v>
      </c>
      <c r="AP49" s="61">
        <v>3512</v>
      </c>
      <c r="AQ49" s="61">
        <v>3727</v>
      </c>
      <c r="AR49" s="61">
        <f>SUM(AR45:AR48)</f>
        <v>5174</v>
      </c>
      <c r="AS49" s="61">
        <v>4986</v>
      </c>
      <c r="AT49" s="42">
        <v>17399</v>
      </c>
      <c r="AU49" s="455">
        <f>SUM(AU45:AU48)</f>
        <v>4041</v>
      </c>
      <c r="AV49" s="61">
        <f>SUM(AV45:AV48)</f>
        <v>4668</v>
      </c>
      <c r="AW49" s="61">
        <f>SUM(AW45:AW48)</f>
        <v>5355</v>
      </c>
      <c r="AX49" s="61">
        <f>SUM(AX45:AX48)</f>
        <v>4941</v>
      </c>
      <c r="AY49" s="448">
        <v>19005</v>
      </c>
      <c r="AZ49" s="424"/>
      <c r="BA49" s="424"/>
      <c r="BB49" s="424"/>
      <c r="BC49" s="424"/>
      <c r="BD49" s="424"/>
      <c r="BE49" s="424"/>
      <c r="BF49" s="424"/>
      <c r="BG49" s="424"/>
      <c r="BH49" s="523"/>
      <c r="BI49" s="523"/>
    </row>
    <row r="50" ht="12.75">
      <c r="A50" s="23" t="s">
        <v>364</v>
      </c>
    </row>
    <row r="51" ht="12.75">
      <c r="A51" s="33" t="s">
        <v>402</v>
      </c>
    </row>
    <row r="52" ht="12.75">
      <c r="A52" s="33" t="s">
        <v>403</v>
      </c>
    </row>
    <row r="53" ht="12.75"/>
    <row r="54" spans="1:61" ht="12.75">
      <c r="A54" s="57" t="s">
        <v>400</v>
      </c>
      <c r="B54" s="58" t="s">
        <v>2</v>
      </c>
      <c r="C54" s="58" t="s">
        <v>3</v>
      </c>
      <c r="D54" s="58" t="s">
        <v>4</v>
      </c>
      <c r="E54" s="58" t="s">
        <v>5</v>
      </c>
      <c r="F54" s="58" t="s">
        <v>6</v>
      </c>
      <c r="G54" s="58" t="s">
        <v>12</v>
      </c>
      <c r="H54" s="58" t="s">
        <v>13</v>
      </c>
      <c r="I54" s="58" t="s">
        <v>14</v>
      </c>
      <c r="J54" s="58" t="s">
        <v>15</v>
      </c>
      <c r="K54" s="58" t="s">
        <v>16</v>
      </c>
      <c r="L54" s="58" t="s">
        <v>17</v>
      </c>
      <c r="M54" s="58" t="s">
        <v>18</v>
      </c>
      <c r="N54" s="58" t="s">
        <v>19</v>
      </c>
      <c r="O54" s="58" t="s">
        <v>20</v>
      </c>
      <c r="P54" s="58" t="s">
        <v>21</v>
      </c>
      <c r="Q54" s="58" t="s">
        <v>22</v>
      </c>
      <c r="R54" s="58" t="s">
        <v>23</v>
      </c>
      <c r="S54" s="58" t="s">
        <v>24</v>
      </c>
      <c r="T54" s="58" t="s">
        <v>25</v>
      </c>
      <c r="U54" s="58" t="s">
        <v>26</v>
      </c>
      <c r="V54" s="58" t="s">
        <v>27</v>
      </c>
      <c r="W54" s="58" t="s">
        <v>28</v>
      </c>
      <c r="X54" s="58" t="s">
        <v>29</v>
      </c>
      <c r="Y54" s="58" t="s">
        <v>30</v>
      </c>
      <c r="Z54" s="58" t="s">
        <v>31</v>
      </c>
      <c r="AA54" s="58" t="s">
        <v>32</v>
      </c>
      <c r="AB54" s="58" t="s">
        <v>33</v>
      </c>
      <c r="AC54" s="58" t="s">
        <v>34</v>
      </c>
      <c r="AD54" s="58" t="s">
        <v>271</v>
      </c>
      <c r="AE54" s="58" t="s">
        <v>272</v>
      </c>
      <c r="AF54" s="58" t="s">
        <v>274</v>
      </c>
      <c r="AG54" s="58" t="s">
        <v>276</v>
      </c>
      <c r="AH54" s="58" t="s">
        <v>278</v>
      </c>
      <c r="AI54" s="6" t="s">
        <v>280</v>
      </c>
      <c r="AJ54" s="6" t="s">
        <v>281</v>
      </c>
      <c r="AK54" s="7" t="s">
        <v>289</v>
      </c>
      <c r="AL54" s="7" t="s">
        <v>290</v>
      </c>
      <c r="AM54" s="7" t="s">
        <v>291</v>
      </c>
      <c r="AN54" s="6" t="s">
        <v>292</v>
      </c>
      <c r="AO54" s="6" t="s">
        <v>293</v>
      </c>
      <c r="AP54" s="7" t="s">
        <v>329</v>
      </c>
      <c r="AQ54" s="7" t="s">
        <v>330</v>
      </c>
      <c r="AR54" s="7" t="s">
        <v>331</v>
      </c>
      <c r="AS54" s="6" t="s">
        <v>332</v>
      </c>
      <c r="AT54" s="6" t="s">
        <v>333</v>
      </c>
      <c r="AU54" s="342" t="s">
        <v>448</v>
      </c>
      <c r="AV54" s="7" t="s">
        <v>451</v>
      </c>
      <c r="AW54" s="7" t="s">
        <v>453</v>
      </c>
      <c r="AX54" s="7" t="s">
        <v>454</v>
      </c>
      <c r="AY54" s="6" t="s">
        <v>457</v>
      </c>
      <c r="AZ54" s="7" t="s">
        <v>495</v>
      </c>
      <c r="BA54" s="7" t="s">
        <v>554</v>
      </c>
      <c r="BB54" s="7" t="s">
        <v>561</v>
      </c>
      <c r="BC54" s="7" t="s">
        <v>561</v>
      </c>
      <c r="BD54" s="493" t="s">
        <v>574</v>
      </c>
      <c r="BE54" s="7" t="str">
        <f>+BE25</f>
        <v>Q1 2012</v>
      </c>
      <c r="BF54" s="7" t="s">
        <v>605</v>
      </c>
      <c r="BG54" s="7" t="s">
        <v>617</v>
      </c>
      <c r="BH54" s="7" t="str">
        <f>+BH25</f>
        <v>Q4 2012</v>
      </c>
      <c r="BI54" s="7" t="str">
        <f>+BI25</f>
        <v>FY 2012</v>
      </c>
    </row>
    <row r="55" spans="1:61" ht="12.75">
      <c r="A55" s="32"/>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18"/>
      <c r="AJ55" s="18"/>
      <c r="AK55" s="19"/>
      <c r="AL55" s="19"/>
      <c r="AM55" s="19"/>
      <c r="AN55" s="18"/>
      <c r="AO55" s="18"/>
      <c r="AP55" s="19"/>
      <c r="AQ55" s="19"/>
      <c r="AR55" s="19"/>
      <c r="AS55" s="18"/>
      <c r="AT55" s="18"/>
      <c r="AU55" s="456"/>
      <c r="AV55" s="19"/>
      <c r="AW55" s="19"/>
      <c r="AX55" s="19"/>
      <c r="AY55" s="18"/>
      <c r="AZ55" s="19"/>
      <c r="BA55" s="19"/>
      <c r="BB55" s="19"/>
      <c r="BC55" s="19"/>
      <c r="BD55" s="18"/>
      <c r="BE55" s="19"/>
      <c r="BF55" s="19"/>
      <c r="BG55" s="19"/>
      <c r="BH55" s="516"/>
      <c r="BI55" s="516"/>
    </row>
    <row r="56" spans="1:61" ht="12.75">
      <c r="A56" s="40" t="s">
        <v>48</v>
      </c>
      <c r="B56" s="68">
        <v>388.1</v>
      </c>
      <c r="C56" s="68">
        <v>405.8</v>
      </c>
      <c r="D56" s="68">
        <v>477.5</v>
      </c>
      <c r="E56" s="68">
        <v>404.6</v>
      </c>
      <c r="F56" s="55">
        <v>1676</v>
      </c>
      <c r="G56" s="68">
        <v>357.3</v>
      </c>
      <c r="H56" s="68">
        <v>411.2</v>
      </c>
      <c r="I56" s="68">
        <v>467.8</v>
      </c>
      <c r="J56" s="68">
        <v>407.7</v>
      </c>
      <c r="K56" s="55">
        <v>1644</v>
      </c>
      <c r="L56" s="68">
        <v>285</v>
      </c>
      <c r="M56" s="68">
        <v>825</v>
      </c>
      <c r="N56" s="68">
        <v>674</v>
      </c>
      <c r="O56" s="68">
        <v>986</v>
      </c>
      <c r="P56" s="55">
        <v>2770</v>
      </c>
      <c r="Q56" s="68">
        <v>648</v>
      </c>
      <c r="R56" s="68">
        <v>837</v>
      </c>
      <c r="S56" s="68">
        <v>866</v>
      </c>
      <c r="T56" s="68">
        <v>830</v>
      </c>
      <c r="U56" s="55">
        <v>3181</v>
      </c>
      <c r="V56" s="68">
        <v>670</v>
      </c>
      <c r="W56" s="68">
        <v>807</v>
      </c>
      <c r="X56" s="68">
        <v>801</v>
      </c>
      <c r="Y56" s="68">
        <v>823</v>
      </c>
      <c r="Z56" s="55">
        <v>3102</v>
      </c>
      <c r="AA56" s="68">
        <v>677</v>
      </c>
      <c r="AB56" s="68">
        <v>807</v>
      </c>
      <c r="AC56" s="68">
        <v>799</v>
      </c>
      <c r="AD56" s="68">
        <v>672</v>
      </c>
      <c r="AE56" s="55">
        <v>2955</v>
      </c>
      <c r="AF56" s="68">
        <v>686</v>
      </c>
      <c r="AG56" s="68">
        <v>791</v>
      </c>
      <c r="AH56" s="68">
        <v>845</v>
      </c>
      <c r="AI56" s="68">
        <f>775+43</f>
        <v>818</v>
      </c>
      <c r="AJ56" s="55">
        <f aca="true" t="shared" si="9" ref="AJ56:AJ64">SUM(AF56:AI56)</f>
        <v>3140</v>
      </c>
      <c r="AK56" s="68">
        <v>776</v>
      </c>
      <c r="AL56" s="68">
        <v>879</v>
      </c>
      <c r="AM56" s="68">
        <v>890</v>
      </c>
      <c r="AN56" s="68">
        <v>875</v>
      </c>
      <c r="AO56" s="55">
        <v>3420</v>
      </c>
      <c r="AP56" s="68">
        <v>769</v>
      </c>
      <c r="AQ56" s="68">
        <v>835</v>
      </c>
      <c r="AR56" s="68">
        <v>1280</v>
      </c>
      <c r="AS56" s="68">
        <v>1073</v>
      </c>
      <c r="AT56" s="55">
        <v>3957</v>
      </c>
      <c r="AU56" s="415">
        <v>918</v>
      </c>
      <c r="AV56" s="415">
        <v>1015</v>
      </c>
      <c r="AW56" s="415">
        <v>1153</v>
      </c>
      <c r="AX56" s="415">
        <v>1065</v>
      </c>
      <c r="AY56" s="447">
        <v>4151</v>
      </c>
      <c r="AZ56" s="415">
        <v>935</v>
      </c>
      <c r="BA56" s="415">
        <v>1112</v>
      </c>
      <c r="BB56" s="415">
        <v>1092</v>
      </c>
      <c r="BC56" s="415">
        <v>1072</v>
      </c>
      <c r="BD56" s="447">
        <f>SUM(AZ56:BC56)</f>
        <v>4211</v>
      </c>
      <c r="BE56" s="415">
        <v>862</v>
      </c>
      <c r="BF56" s="415">
        <v>1028</v>
      </c>
      <c r="BG56" s="415">
        <v>1119</v>
      </c>
      <c r="BH56" s="415">
        <v>1027</v>
      </c>
      <c r="BI56" s="415">
        <f>SUM(BE56:BH56)</f>
        <v>4036</v>
      </c>
    </row>
    <row r="57" spans="1:61" ht="12.75">
      <c r="A57" s="40" t="s">
        <v>302</v>
      </c>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68">
        <v>1922</v>
      </c>
      <c r="AM57" s="68">
        <v>2026</v>
      </c>
      <c r="AN57" s="68">
        <v>2081</v>
      </c>
      <c r="AO57" s="55">
        <v>7885</v>
      </c>
      <c r="AP57" s="68">
        <v>1747</v>
      </c>
      <c r="AQ57" s="68">
        <v>1908</v>
      </c>
      <c r="AR57" s="68">
        <v>2310</v>
      </c>
      <c r="AS57" s="68">
        <v>2386</v>
      </c>
      <c r="AT57" s="55">
        <v>8351</v>
      </c>
      <c r="AU57" s="415">
        <v>1923</v>
      </c>
      <c r="AV57" s="415">
        <v>2272</v>
      </c>
      <c r="AW57" s="415">
        <v>2518</v>
      </c>
      <c r="AX57" s="415">
        <v>2312</v>
      </c>
      <c r="AY57" s="447">
        <v>9025</v>
      </c>
      <c r="AZ57" s="415">
        <v>2107</v>
      </c>
      <c r="BA57" s="415">
        <v>2346</v>
      </c>
      <c r="BB57" s="415">
        <v>2517</v>
      </c>
      <c r="BC57" s="415">
        <v>2422</v>
      </c>
      <c r="BD57" s="447">
        <f>SUM(AZ57:BC57)</f>
        <v>9392</v>
      </c>
      <c r="BE57" s="415">
        <v>2024</v>
      </c>
      <c r="BF57" s="415">
        <v>2175</v>
      </c>
      <c r="BG57" s="415">
        <v>2525</v>
      </c>
      <c r="BH57" s="415">
        <v>2341</v>
      </c>
      <c r="BI57" s="415">
        <f>SUM(BE57:BH57)</f>
        <v>9065</v>
      </c>
    </row>
    <row r="58" spans="1:61" ht="12.75">
      <c r="A58" s="40" t="s">
        <v>306</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68">
        <v>306</v>
      </c>
      <c r="AM58" s="68">
        <v>133</v>
      </c>
      <c r="AN58" s="68">
        <v>125</v>
      </c>
      <c r="AO58" s="55">
        <v>610</v>
      </c>
      <c r="AP58" s="68">
        <v>246</v>
      </c>
      <c r="AQ58" s="68">
        <v>123</v>
      </c>
      <c r="AR58" s="68">
        <v>249</v>
      </c>
      <c r="AS58" s="68">
        <v>185</v>
      </c>
      <c r="AT58" s="55">
        <v>803</v>
      </c>
      <c r="AU58" s="415">
        <v>257</v>
      </c>
      <c r="AV58" s="415">
        <v>192</v>
      </c>
      <c r="AW58" s="415">
        <v>260</v>
      </c>
      <c r="AX58" s="415">
        <v>331</v>
      </c>
      <c r="AY58" s="447">
        <v>1040</v>
      </c>
      <c r="AZ58" s="415">
        <v>207</v>
      </c>
      <c r="BA58" s="415">
        <v>199</v>
      </c>
      <c r="BB58" s="415">
        <v>204</v>
      </c>
      <c r="BC58" s="415">
        <v>329</v>
      </c>
      <c r="BD58" s="447">
        <f>SUM(AZ58:BC58)</f>
        <v>939</v>
      </c>
      <c r="BE58" s="415">
        <v>267</v>
      </c>
      <c r="BF58" s="415">
        <f>379-BE58</f>
        <v>112</v>
      </c>
      <c r="BG58" s="415">
        <v>200</v>
      </c>
      <c r="BH58" s="415">
        <v>273</v>
      </c>
      <c r="BI58" s="415">
        <f>SUM(BE58:BH58)</f>
        <v>852</v>
      </c>
    </row>
    <row r="59" spans="1:61" ht="12.75">
      <c r="A59" s="40" t="s">
        <v>307</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68">
        <v>88</v>
      </c>
      <c r="AM59" s="68">
        <v>107</v>
      </c>
      <c r="AN59" s="68">
        <v>75</v>
      </c>
      <c r="AO59" s="55">
        <v>347</v>
      </c>
      <c r="AP59" s="68">
        <v>60</v>
      </c>
      <c r="AQ59" s="68">
        <v>87</v>
      </c>
      <c r="AR59" s="68">
        <v>149</v>
      </c>
      <c r="AS59" s="68">
        <v>92</v>
      </c>
      <c r="AT59" s="55">
        <v>388</v>
      </c>
      <c r="AU59" s="415">
        <v>73</v>
      </c>
      <c r="AV59" s="415">
        <v>103</v>
      </c>
      <c r="AW59" s="415">
        <v>145</v>
      </c>
      <c r="AX59" s="415">
        <v>90</v>
      </c>
      <c r="AY59" s="447">
        <v>411</v>
      </c>
      <c r="AZ59" s="415">
        <v>66</v>
      </c>
      <c r="BA59" s="415">
        <v>113</v>
      </c>
      <c r="BB59" s="415">
        <v>152</v>
      </c>
      <c r="BC59" s="415">
        <v>88</v>
      </c>
      <c r="BD59" s="447">
        <f>SUM(AZ59:BC59)</f>
        <v>419</v>
      </c>
      <c r="BE59" s="415">
        <v>63</v>
      </c>
      <c r="BF59" s="415">
        <f>152-BE59</f>
        <v>89</v>
      </c>
      <c r="BG59" s="415">
        <v>128</v>
      </c>
      <c r="BH59" s="415">
        <v>68</v>
      </c>
      <c r="BI59" s="415">
        <f>SUM(BE59:BH59)</f>
        <v>348</v>
      </c>
    </row>
    <row r="60" spans="1:61" ht="12.75">
      <c r="A60" s="483" t="s">
        <v>59</v>
      </c>
      <c r="B60" s="68">
        <v>547.8</v>
      </c>
      <c r="C60" s="68">
        <v>639.1</v>
      </c>
      <c r="D60" s="68">
        <v>720</v>
      </c>
      <c r="E60" s="68">
        <v>780.1</v>
      </c>
      <c r="F60" s="55">
        <v>2687</v>
      </c>
      <c r="G60" s="68">
        <v>705.8</v>
      </c>
      <c r="H60" s="68">
        <v>777</v>
      </c>
      <c r="I60" s="68">
        <v>879.6</v>
      </c>
      <c r="J60" s="68">
        <v>723.6</v>
      </c>
      <c r="K60" s="55">
        <v>3086</v>
      </c>
      <c r="L60" s="68">
        <v>679</v>
      </c>
      <c r="M60" s="68">
        <v>1108</v>
      </c>
      <c r="N60" s="68">
        <v>1596</v>
      </c>
      <c r="O60" s="68">
        <v>1558</v>
      </c>
      <c r="P60" s="55">
        <v>4941</v>
      </c>
      <c r="Q60" s="68">
        <v>1140</v>
      </c>
      <c r="R60" s="68">
        <v>1385</v>
      </c>
      <c r="S60" s="68">
        <v>1543</v>
      </c>
      <c r="T60" s="68">
        <v>1580</v>
      </c>
      <c r="U60" s="55">
        <v>5648</v>
      </c>
      <c r="V60" s="68">
        <v>1255</v>
      </c>
      <c r="W60" s="68">
        <v>1501</v>
      </c>
      <c r="X60" s="68">
        <v>1565</v>
      </c>
      <c r="Y60" s="68">
        <v>1581</v>
      </c>
      <c r="Z60" s="55">
        <v>5901</v>
      </c>
      <c r="AA60" s="68">
        <v>1363</v>
      </c>
      <c r="AB60" s="68">
        <v>1655</v>
      </c>
      <c r="AC60" s="68">
        <v>1760</v>
      </c>
      <c r="AD60" s="68">
        <v>1606</v>
      </c>
      <c r="AE60" s="55">
        <v>6384</v>
      </c>
      <c r="AF60" s="68">
        <v>1480</v>
      </c>
      <c r="AG60" s="68">
        <v>1675</v>
      </c>
      <c r="AH60" s="68">
        <v>1841</v>
      </c>
      <c r="AI60" s="68">
        <f>1854-20+117</f>
        <v>1951</v>
      </c>
      <c r="AJ60" s="55">
        <f t="shared" si="9"/>
        <v>6947</v>
      </c>
      <c r="AK60" s="68">
        <v>1902</v>
      </c>
      <c r="AL60" s="1"/>
      <c r="AM60" s="1"/>
      <c r="AN60" s="1"/>
      <c r="AO60" s="1"/>
      <c r="AP60" s="1"/>
      <c r="AQ60" s="1"/>
      <c r="AR60" s="1"/>
      <c r="AS60" s="1"/>
      <c r="AT60" s="1"/>
      <c r="AU60" s="1"/>
      <c r="AV60" s="1"/>
      <c r="AW60" s="1"/>
      <c r="AX60" s="1"/>
      <c r="AY60" s="447"/>
      <c r="AZ60" s="1"/>
      <c r="BA60" s="1"/>
      <c r="BB60" s="1"/>
      <c r="BC60" s="1"/>
      <c r="BD60" s="1"/>
      <c r="BE60" s="1"/>
      <c r="BF60" s="1"/>
      <c r="BG60" s="1"/>
      <c r="BH60" s="1"/>
      <c r="BI60" s="1"/>
    </row>
    <row r="61" spans="1:61" ht="12.75">
      <c r="A61" s="40" t="s">
        <v>51</v>
      </c>
      <c r="B61" s="68">
        <v>703.1</v>
      </c>
      <c r="C61" s="68">
        <v>607.1</v>
      </c>
      <c r="D61" s="68">
        <v>640.5</v>
      </c>
      <c r="E61" s="68">
        <v>724.3</v>
      </c>
      <c r="F61" s="55">
        <v>2675</v>
      </c>
      <c r="G61" s="68">
        <v>470.9</v>
      </c>
      <c r="H61" s="68">
        <v>509.8</v>
      </c>
      <c r="I61" s="68">
        <v>579.6</v>
      </c>
      <c r="J61" s="68">
        <v>649.7</v>
      </c>
      <c r="K61" s="55">
        <v>2210</v>
      </c>
      <c r="L61" s="68">
        <v>477</v>
      </c>
      <c r="M61" s="68">
        <v>809</v>
      </c>
      <c r="N61" s="68">
        <v>754</v>
      </c>
      <c r="O61" s="68">
        <v>485</v>
      </c>
      <c r="P61" s="55">
        <v>2525</v>
      </c>
      <c r="Q61" s="68">
        <v>562</v>
      </c>
      <c r="R61" s="68">
        <v>638</v>
      </c>
      <c r="S61" s="68">
        <v>746</v>
      </c>
      <c r="T61" s="68">
        <v>718</v>
      </c>
      <c r="U61" s="55">
        <v>2664</v>
      </c>
      <c r="V61" s="68">
        <v>550</v>
      </c>
      <c r="W61" s="68">
        <v>673</v>
      </c>
      <c r="X61" s="68">
        <v>812</v>
      </c>
      <c r="Y61" s="68">
        <v>716</v>
      </c>
      <c r="Z61" s="55">
        <v>2751</v>
      </c>
      <c r="AA61" s="68">
        <v>598</v>
      </c>
      <c r="AB61" s="68">
        <v>675</v>
      </c>
      <c r="AC61" s="68">
        <v>716</v>
      </c>
      <c r="AD61" s="68">
        <v>762</v>
      </c>
      <c r="AE61" s="55">
        <v>2750</v>
      </c>
      <c r="AF61" s="68">
        <v>588</v>
      </c>
      <c r="AG61" s="68">
        <v>708</v>
      </c>
      <c r="AH61" s="68">
        <v>833</v>
      </c>
      <c r="AI61" s="68">
        <f>786+91.4+1</f>
        <v>878.4</v>
      </c>
      <c r="AJ61" s="55">
        <f t="shared" si="9"/>
        <v>3007.4</v>
      </c>
      <c r="AK61" s="68">
        <v>789</v>
      </c>
      <c r="AL61" s="68">
        <v>829</v>
      </c>
      <c r="AM61" s="68">
        <f>546+345</f>
        <v>891</v>
      </c>
      <c r="AN61" s="68">
        <f>544+316</f>
        <v>860</v>
      </c>
      <c r="AO61" s="55">
        <f>2107+1185</f>
        <v>3292</v>
      </c>
      <c r="AP61" s="68">
        <v>690</v>
      </c>
      <c r="AQ61" s="68">
        <f>469+305</f>
        <v>774</v>
      </c>
      <c r="AR61" s="68">
        <f>420+766</f>
        <v>1186</v>
      </c>
      <c r="AS61" s="68">
        <v>938</v>
      </c>
      <c r="AT61" s="55">
        <v>2679</v>
      </c>
      <c r="AU61" s="415">
        <f>166+704</f>
        <v>870</v>
      </c>
      <c r="AV61" s="415">
        <v>1086</v>
      </c>
      <c r="AW61" s="415">
        <v>1279</v>
      </c>
      <c r="AX61" s="415">
        <v>1143</v>
      </c>
      <c r="AY61" s="447">
        <v>4378</v>
      </c>
      <c r="AZ61" s="415">
        <f>181+735</f>
        <v>916</v>
      </c>
      <c r="BA61" s="415">
        <v>1090</v>
      </c>
      <c r="BB61" s="415">
        <v>1066</v>
      </c>
      <c r="BC61" s="415">
        <f>158+5+150+338+327</f>
        <v>978</v>
      </c>
      <c r="BD61" s="447">
        <f>SUM(AZ61:BC61)</f>
        <v>4050</v>
      </c>
      <c r="BE61" s="415">
        <f>149+19+86+157+337</f>
        <v>748</v>
      </c>
      <c r="BF61" s="415">
        <f>1558-BE61</f>
        <v>810</v>
      </c>
      <c r="BG61" s="415">
        <f>164+7+78+391+343</f>
        <v>983</v>
      </c>
      <c r="BH61" s="415">
        <f>155+10+116+246+412</f>
        <v>939</v>
      </c>
      <c r="BI61" s="415">
        <f>SUM(BE61:BH61)</f>
        <v>3480</v>
      </c>
    </row>
    <row r="62" spans="1:61" s="24" customFormat="1" ht="12.75">
      <c r="A62" s="39" t="s">
        <v>58</v>
      </c>
      <c r="B62" s="61">
        <v>1639</v>
      </c>
      <c r="C62" s="61">
        <v>1652</v>
      </c>
      <c r="D62" s="61">
        <v>1838</v>
      </c>
      <c r="E62" s="61">
        <v>1909</v>
      </c>
      <c r="F62" s="42">
        <v>7038</v>
      </c>
      <c r="G62" s="61">
        <v>1534</v>
      </c>
      <c r="H62" s="61">
        <v>1698</v>
      </c>
      <c r="I62" s="61">
        <v>1927</v>
      </c>
      <c r="J62" s="61">
        <v>1781</v>
      </c>
      <c r="K62" s="42">
        <v>6940</v>
      </c>
      <c r="L62" s="61">
        <v>1441</v>
      </c>
      <c r="M62" s="61">
        <v>2742</v>
      </c>
      <c r="N62" s="61">
        <v>3024</v>
      </c>
      <c r="O62" s="61">
        <v>3029</v>
      </c>
      <c r="P62" s="42">
        <v>10236</v>
      </c>
      <c r="Q62" s="61">
        <v>2350</v>
      </c>
      <c r="R62" s="61">
        <v>2860</v>
      </c>
      <c r="S62" s="61">
        <v>3155</v>
      </c>
      <c r="T62" s="61">
        <v>3128</v>
      </c>
      <c r="U62" s="42">
        <v>11493</v>
      </c>
      <c r="V62" s="61">
        <v>2475</v>
      </c>
      <c r="W62" s="61">
        <v>2981</v>
      </c>
      <c r="X62" s="61">
        <v>3178</v>
      </c>
      <c r="Y62" s="61">
        <v>3120</v>
      </c>
      <c r="Z62" s="42">
        <v>11754</v>
      </c>
      <c r="AA62" s="61">
        <v>2638</v>
      </c>
      <c r="AB62" s="61">
        <v>3137</v>
      </c>
      <c r="AC62" s="61">
        <v>3275</v>
      </c>
      <c r="AD62" s="61">
        <v>3040</v>
      </c>
      <c r="AE62" s="42">
        <v>12089</v>
      </c>
      <c r="AF62" s="61">
        <f>+AF56+AF60+AF61</f>
        <v>2754</v>
      </c>
      <c r="AG62" s="61">
        <f>+AG56+AG60+AG61</f>
        <v>3174</v>
      </c>
      <c r="AH62" s="61">
        <f>+AH56+AH60+AH61</f>
        <v>3519</v>
      </c>
      <c r="AI62" s="61">
        <f>SUM(AI56:AI61)</f>
        <v>3647.4</v>
      </c>
      <c r="AJ62" s="42">
        <f t="shared" si="9"/>
        <v>13094.4</v>
      </c>
      <c r="AK62" s="61">
        <v>3467</v>
      </c>
      <c r="AL62" s="61">
        <v>4024</v>
      </c>
      <c r="AM62" s="61">
        <v>4047</v>
      </c>
      <c r="AN62" s="61">
        <v>4016</v>
      </c>
      <c r="AO62" s="42">
        <v>15554</v>
      </c>
      <c r="AP62" s="61">
        <f>SUM(AP56:AP61)</f>
        <v>3512</v>
      </c>
      <c r="AQ62" s="61">
        <f>SUM(AQ56:AQ61)</f>
        <v>3727</v>
      </c>
      <c r="AR62" s="61">
        <f>SUM(AR56:AR61)</f>
        <v>5174</v>
      </c>
      <c r="AS62" s="61">
        <v>4986</v>
      </c>
      <c r="AT62" s="42">
        <v>17399</v>
      </c>
      <c r="AU62" s="416">
        <f aca="true" t="shared" si="10" ref="AU62:AZ62">SUM(AU56:AU61)</f>
        <v>4041</v>
      </c>
      <c r="AV62" s="416">
        <f t="shared" si="10"/>
        <v>4668</v>
      </c>
      <c r="AW62" s="416">
        <f t="shared" si="10"/>
        <v>5355</v>
      </c>
      <c r="AX62" s="416">
        <f t="shared" si="10"/>
        <v>4941</v>
      </c>
      <c r="AY62" s="448">
        <f t="shared" si="10"/>
        <v>19005</v>
      </c>
      <c r="AZ62" s="416">
        <f t="shared" si="10"/>
        <v>4231</v>
      </c>
      <c r="BA62" s="416">
        <f aca="true" t="shared" si="11" ref="BA62:BG62">SUM(BA56:BA61)</f>
        <v>4860</v>
      </c>
      <c r="BB62" s="416">
        <f t="shared" si="11"/>
        <v>5031</v>
      </c>
      <c r="BC62" s="416">
        <f t="shared" si="11"/>
        <v>4889</v>
      </c>
      <c r="BD62" s="448">
        <f t="shared" si="11"/>
        <v>19011</v>
      </c>
      <c r="BE62" s="416">
        <f t="shared" si="11"/>
        <v>3964</v>
      </c>
      <c r="BF62" s="416">
        <f t="shared" si="11"/>
        <v>4214</v>
      </c>
      <c r="BG62" s="416">
        <f t="shared" si="11"/>
        <v>4955</v>
      </c>
      <c r="BH62" s="416">
        <f>SUM(BH56:BH61)</f>
        <v>4648</v>
      </c>
      <c r="BI62" s="416">
        <f>SUM(BE62:BH62)</f>
        <v>17781</v>
      </c>
    </row>
    <row r="63" spans="1:61" ht="12.75">
      <c r="A63" s="40" t="s">
        <v>266</v>
      </c>
      <c r="B63" s="68">
        <v>202.7</v>
      </c>
      <c r="C63" s="68">
        <v>234.3</v>
      </c>
      <c r="D63" s="68">
        <v>266.6</v>
      </c>
      <c r="E63" s="68">
        <v>244.9</v>
      </c>
      <c r="F63" s="55">
        <v>948.5</v>
      </c>
      <c r="G63" s="68">
        <v>224.5</v>
      </c>
      <c r="H63" s="68">
        <v>241.6</v>
      </c>
      <c r="I63" s="68">
        <v>289.2</v>
      </c>
      <c r="J63" s="68">
        <v>254.1</v>
      </c>
      <c r="K63" s="55">
        <v>1009.4</v>
      </c>
      <c r="L63" s="68">
        <v>202.8</v>
      </c>
      <c r="M63" s="68">
        <v>386.7</v>
      </c>
      <c r="N63" s="68">
        <v>408</v>
      </c>
      <c r="O63" s="68">
        <v>387.5</v>
      </c>
      <c r="P63" s="55">
        <v>1385</v>
      </c>
      <c r="Q63" s="68">
        <v>334</v>
      </c>
      <c r="R63" s="68">
        <v>404.4</v>
      </c>
      <c r="S63" s="68">
        <v>438.3</v>
      </c>
      <c r="T63" s="68">
        <v>424.6</v>
      </c>
      <c r="U63" s="55">
        <v>1601.3</v>
      </c>
      <c r="V63" s="68">
        <v>357.5</v>
      </c>
      <c r="W63" s="68">
        <v>475.4</v>
      </c>
      <c r="X63" s="68">
        <v>484.4</v>
      </c>
      <c r="Y63" s="68">
        <v>485.3</v>
      </c>
      <c r="Z63" s="55">
        <v>1802.6</v>
      </c>
      <c r="AA63" s="68">
        <v>430.4</v>
      </c>
      <c r="AB63" s="68">
        <v>502.9</v>
      </c>
      <c r="AC63" s="68">
        <v>504.5</v>
      </c>
      <c r="AD63" s="68">
        <v>516</v>
      </c>
      <c r="AE63" s="55">
        <v>1954</v>
      </c>
      <c r="AF63" s="68">
        <v>432</v>
      </c>
      <c r="AG63" s="68">
        <v>498</v>
      </c>
      <c r="AH63" s="68">
        <v>521</v>
      </c>
      <c r="AI63" s="68">
        <v>547</v>
      </c>
      <c r="AJ63" s="55">
        <f t="shared" si="9"/>
        <v>1998</v>
      </c>
      <c r="AK63" s="68">
        <v>514</v>
      </c>
      <c r="AL63" s="68">
        <v>581</v>
      </c>
      <c r="AM63" s="68">
        <v>632</v>
      </c>
      <c r="AN63" s="68">
        <v>592</v>
      </c>
      <c r="AO63" s="55">
        <v>2319</v>
      </c>
      <c r="AP63" s="68">
        <v>521</v>
      </c>
      <c r="AQ63" s="68">
        <v>611</v>
      </c>
      <c r="AR63" s="68">
        <v>1029</v>
      </c>
      <c r="AS63" s="68">
        <v>897</v>
      </c>
      <c r="AT63" s="55">
        <v>3058</v>
      </c>
      <c r="AU63" s="415">
        <v>753</v>
      </c>
      <c r="AV63" s="415">
        <v>911</v>
      </c>
      <c r="AW63" s="415">
        <v>1002</v>
      </c>
      <c r="AX63" s="415">
        <v>879</v>
      </c>
      <c r="AY63" s="447">
        <v>3545</v>
      </c>
      <c r="AZ63" s="415">
        <f>+AZ11</f>
        <v>764</v>
      </c>
      <c r="BA63" s="415">
        <f>+BA11</f>
        <v>892</v>
      </c>
      <c r="BB63" s="415">
        <f>+BB11</f>
        <v>990</v>
      </c>
      <c r="BC63" s="415">
        <f>+BC11</f>
        <v>861</v>
      </c>
      <c r="BD63" s="447">
        <f>SUM(AZ63:BC63)</f>
        <v>3507</v>
      </c>
      <c r="BE63" s="415">
        <f>+BE11</f>
        <v>737</v>
      </c>
      <c r="BF63" s="415">
        <f>+BF11</f>
        <v>849</v>
      </c>
      <c r="BG63" s="415">
        <v>948</v>
      </c>
      <c r="BH63" s="415">
        <v>841</v>
      </c>
      <c r="BI63" s="415">
        <f>SUM(BE63:BH63)</f>
        <v>3375</v>
      </c>
    </row>
    <row r="64" spans="1:61" ht="12.75">
      <c r="A64" s="483" t="s">
        <v>267</v>
      </c>
      <c r="B64" s="1"/>
      <c r="C64" s="1"/>
      <c r="D64" s="1"/>
      <c r="E64" s="1"/>
      <c r="F64" s="55"/>
      <c r="G64" s="1"/>
      <c r="H64" s="1"/>
      <c r="I64" s="1"/>
      <c r="J64" s="1"/>
      <c r="K64" s="55"/>
      <c r="L64" s="1"/>
      <c r="M64" s="1"/>
      <c r="N64" s="1"/>
      <c r="O64" s="1"/>
      <c r="P64" s="55">
        <v>1105.071238</v>
      </c>
      <c r="Q64" s="1"/>
      <c r="R64" s="1"/>
      <c r="S64" s="1"/>
      <c r="T64" s="1"/>
      <c r="U64" s="55">
        <v>1274.437</v>
      </c>
      <c r="V64" s="68">
        <v>344.818688</v>
      </c>
      <c r="W64" s="68">
        <v>496.87770659000006</v>
      </c>
      <c r="X64" s="68">
        <v>512.26402241</v>
      </c>
      <c r="Y64" s="68">
        <v>511.9796609999998</v>
      </c>
      <c r="Z64" s="55">
        <v>1865.9400779999999</v>
      </c>
      <c r="AA64" s="68">
        <v>422.66653399999996</v>
      </c>
      <c r="AB64" s="68">
        <v>559.3410054800001</v>
      </c>
      <c r="AC64" s="68">
        <v>602.46118852</v>
      </c>
      <c r="AD64" s="68">
        <v>545</v>
      </c>
      <c r="AE64" s="55">
        <v>2129</v>
      </c>
      <c r="AF64" s="68">
        <v>488</v>
      </c>
      <c r="AG64" s="68">
        <v>577</v>
      </c>
      <c r="AH64" s="68">
        <v>659</v>
      </c>
      <c r="AI64" s="68">
        <v>610</v>
      </c>
      <c r="AJ64" s="55">
        <f t="shared" si="9"/>
        <v>2334</v>
      </c>
      <c r="AK64" s="68">
        <v>530</v>
      </c>
      <c r="AL64" s="68">
        <v>640</v>
      </c>
      <c r="AM64" s="68">
        <v>726</v>
      </c>
      <c r="AN64" s="68">
        <v>711</v>
      </c>
      <c r="AO64" s="55">
        <v>2607</v>
      </c>
      <c r="AP64" s="68">
        <v>575</v>
      </c>
      <c r="AQ64" s="68">
        <v>643</v>
      </c>
      <c r="AR64" s="68">
        <v>688</v>
      </c>
      <c r="AS64" s="68">
        <v>682</v>
      </c>
      <c r="AT64" s="55">
        <v>2588</v>
      </c>
      <c r="AU64" s="464">
        <v>518</v>
      </c>
      <c r="AV64" s="464">
        <v>620</v>
      </c>
      <c r="AW64" s="464">
        <v>802</v>
      </c>
      <c r="AX64" s="464">
        <v>778</v>
      </c>
      <c r="AY64" s="447">
        <v>2718</v>
      </c>
      <c r="AZ64" s="444"/>
      <c r="BA64" s="444"/>
      <c r="BB64" s="444"/>
      <c r="BC64" s="444"/>
      <c r="BD64" s="444"/>
      <c r="BE64" s="444"/>
      <c r="BF64" s="444"/>
      <c r="BG64" s="444"/>
      <c r="BH64" s="444"/>
      <c r="BI64" s="444"/>
    </row>
    <row r="65" spans="1:61" ht="12.75">
      <c r="A65" s="484" t="s">
        <v>60</v>
      </c>
      <c r="B65" s="1"/>
      <c r="C65" s="1"/>
      <c r="D65" s="1"/>
      <c r="E65" s="1"/>
      <c r="F65" s="55"/>
      <c r="G65" s="1"/>
      <c r="H65" s="1"/>
      <c r="I65" s="1"/>
      <c r="J65" s="1"/>
      <c r="K65" s="55"/>
      <c r="L65" s="68">
        <v>440.9</v>
      </c>
      <c r="M65" s="68">
        <v>396.4</v>
      </c>
      <c r="N65" s="68">
        <v>433.1</v>
      </c>
      <c r="O65" s="68">
        <v>448.6</v>
      </c>
      <c r="P65" s="55">
        <v>1719</v>
      </c>
      <c r="Q65" s="68">
        <v>482.8</v>
      </c>
      <c r="R65" s="68">
        <v>466.3</v>
      </c>
      <c r="S65" s="68">
        <v>457.1</v>
      </c>
      <c r="T65" s="68">
        <v>496.9</v>
      </c>
      <c r="U65" s="55">
        <v>1903.1</v>
      </c>
      <c r="V65" s="68">
        <v>606.9</v>
      </c>
      <c r="W65" s="68">
        <v>605.8</v>
      </c>
      <c r="X65" s="68">
        <v>618.7</v>
      </c>
      <c r="Y65" s="68">
        <v>683.1</v>
      </c>
      <c r="Z65" s="55">
        <v>2514.5</v>
      </c>
      <c r="AA65" s="68">
        <v>666.4</v>
      </c>
      <c r="AB65" s="68">
        <v>650.7</v>
      </c>
      <c r="AC65" s="68">
        <v>547.2</v>
      </c>
      <c r="AD65" s="68">
        <v>635</v>
      </c>
      <c r="AE65" s="55">
        <v>2500</v>
      </c>
      <c r="AF65" s="68">
        <v>650</v>
      </c>
      <c r="AG65" s="68">
        <v>685</v>
      </c>
      <c r="AH65" s="68">
        <v>656</v>
      </c>
      <c r="AI65" s="68">
        <v>709</v>
      </c>
      <c r="AJ65" s="55">
        <f>+AF65+AG65+AH65+AI65</f>
        <v>2700</v>
      </c>
      <c r="AK65" s="68">
        <v>716</v>
      </c>
      <c r="AL65" s="68">
        <v>593</v>
      </c>
      <c r="AM65" s="68">
        <v>587</v>
      </c>
      <c r="AN65" s="68">
        <v>650</v>
      </c>
      <c r="AO65" s="55">
        <v>2546</v>
      </c>
      <c r="AP65" s="68">
        <v>650</v>
      </c>
      <c r="AQ65" s="68">
        <v>505</v>
      </c>
      <c r="AR65" s="68">
        <v>659</v>
      </c>
      <c r="AS65" s="68">
        <v>674</v>
      </c>
      <c r="AT65" s="55">
        <v>2488</v>
      </c>
      <c r="AU65" s="415">
        <v>678</v>
      </c>
      <c r="AV65" s="415">
        <v>598</v>
      </c>
      <c r="AW65" s="415">
        <v>707</v>
      </c>
      <c r="AX65" s="415">
        <v>622</v>
      </c>
      <c r="AY65" s="447">
        <v>2605</v>
      </c>
      <c r="AZ65" s="415">
        <v>678</v>
      </c>
      <c r="BA65" s="415">
        <v>674</v>
      </c>
      <c r="BB65" s="415">
        <v>610</v>
      </c>
      <c r="BC65" s="415">
        <v>590</v>
      </c>
      <c r="BD65" s="447">
        <f>SUM(AZ65:BC65)</f>
        <v>2552</v>
      </c>
      <c r="BE65" s="415">
        <v>594</v>
      </c>
      <c r="BF65" s="415">
        <v>406</v>
      </c>
      <c r="BG65" s="415">
        <v>421</v>
      </c>
      <c r="BH65" s="415">
        <v>565</v>
      </c>
      <c r="BI65" s="415">
        <f>SUM(BE65:BH65)</f>
        <v>1986</v>
      </c>
    </row>
    <row r="66" spans="1:61" ht="12.75">
      <c r="A66" s="33" t="s">
        <v>364</v>
      </c>
      <c r="B66" s="15"/>
      <c r="C66" s="15"/>
      <c r="D66" s="15"/>
      <c r="E66" s="15"/>
      <c r="F66" s="15"/>
      <c r="G66" s="15"/>
      <c r="H66" s="15"/>
      <c r="I66" s="15"/>
      <c r="J66" s="15"/>
      <c r="K66" s="15"/>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459"/>
      <c r="AV66" s="16"/>
      <c r="AW66" s="16"/>
      <c r="AX66" s="16"/>
      <c r="AY66" s="16"/>
      <c r="AZ66" s="16"/>
      <c r="BA66" s="16"/>
      <c r="BB66" s="16"/>
      <c r="BC66" s="16"/>
      <c r="BE66" s="16"/>
      <c r="BF66" s="16"/>
      <c r="BG66" s="16"/>
      <c r="BH66" s="16"/>
      <c r="BI66" s="16"/>
    </row>
    <row r="67" spans="1:61" ht="12.75">
      <c r="A67" s="33" t="s">
        <v>401</v>
      </c>
      <c r="B67" s="15"/>
      <c r="C67" s="15"/>
      <c r="D67" s="15"/>
      <c r="E67" s="15"/>
      <c r="F67" s="15"/>
      <c r="G67" s="15"/>
      <c r="H67" s="15"/>
      <c r="I67" s="15"/>
      <c r="J67" s="15"/>
      <c r="K67" s="15"/>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459"/>
      <c r="AV67" s="16"/>
      <c r="AW67" s="16"/>
      <c r="AX67" s="16"/>
      <c r="AY67" s="16"/>
      <c r="AZ67" s="16"/>
      <c r="BA67" s="16"/>
      <c r="BB67" s="16"/>
      <c r="BC67" s="16"/>
      <c r="BE67" s="16"/>
      <c r="BF67" s="16"/>
      <c r="BG67" s="16"/>
      <c r="BH67" s="525"/>
      <c r="BI67" s="525"/>
    </row>
    <row r="68" ht="12.75"/>
    <row r="69" spans="1:61" ht="25.5">
      <c r="A69" s="57" t="s">
        <v>392</v>
      </c>
      <c r="B69" s="58" t="s">
        <v>2</v>
      </c>
      <c r="C69" s="58" t="s">
        <v>3</v>
      </c>
      <c r="D69" s="58" t="s">
        <v>4</v>
      </c>
      <c r="E69" s="58" t="s">
        <v>5</v>
      </c>
      <c r="F69" s="58" t="s">
        <v>6</v>
      </c>
      <c r="G69" s="58" t="s">
        <v>12</v>
      </c>
      <c r="H69" s="58" t="s">
        <v>13</v>
      </c>
      <c r="I69" s="58" t="s">
        <v>14</v>
      </c>
      <c r="J69" s="58" t="s">
        <v>15</v>
      </c>
      <c r="K69" s="58" t="s">
        <v>16</v>
      </c>
      <c r="L69" s="58" t="s">
        <v>17</v>
      </c>
      <c r="M69" s="58" t="s">
        <v>18</v>
      </c>
      <c r="N69" s="58" t="s">
        <v>19</v>
      </c>
      <c r="O69" s="58" t="s">
        <v>20</v>
      </c>
      <c r="P69" s="58" t="s">
        <v>21</v>
      </c>
      <c r="Q69" s="58" t="s">
        <v>22</v>
      </c>
      <c r="R69" s="58" t="s">
        <v>23</v>
      </c>
      <c r="S69" s="58" t="s">
        <v>24</v>
      </c>
      <c r="T69" s="58" t="s">
        <v>25</v>
      </c>
      <c r="U69" s="58" t="s">
        <v>26</v>
      </c>
      <c r="V69" s="58" t="s">
        <v>27</v>
      </c>
      <c r="W69" s="58" t="s">
        <v>28</v>
      </c>
      <c r="X69" s="58" t="s">
        <v>29</v>
      </c>
      <c r="Y69" s="58" t="s">
        <v>30</v>
      </c>
      <c r="Z69" s="58" t="s">
        <v>31</v>
      </c>
      <c r="AA69" s="58" t="s">
        <v>32</v>
      </c>
      <c r="AB69" s="58" t="s">
        <v>33</v>
      </c>
      <c r="AC69" s="58" t="s">
        <v>34</v>
      </c>
      <c r="AD69" s="58" t="s">
        <v>271</v>
      </c>
      <c r="AE69" s="58" t="s">
        <v>272</v>
      </c>
      <c r="AF69" s="58" t="s">
        <v>274</v>
      </c>
      <c r="AG69" s="58" t="s">
        <v>276</v>
      </c>
      <c r="AH69" s="58" t="s">
        <v>278</v>
      </c>
      <c r="AI69" s="6" t="s">
        <v>280</v>
      </c>
      <c r="AJ69" s="6" t="s">
        <v>281</v>
      </c>
      <c r="AK69" s="7" t="s">
        <v>289</v>
      </c>
      <c r="AL69" s="7" t="s">
        <v>290</v>
      </c>
      <c r="AM69" s="7" t="s">
        <v>291</v>
      </c>
      <c r="AN69" s="6" t="s">
        <v>292</v>
      </c>
      <c r="AO69" s="6" t="s">
        <v>293</v>
      </c>
      <c r="AP69" s="7" t="s">
        <v>329</v>
      </c>
      <c r="AQ69" s="7" t="s">
        <v>330</v>
      </c>
      <c r="AR69" s="7" t="s">
        <v>331</v>
      </c>
      <c r="AS69" s="6" t="s">
        <v>332</v>
      </c>
      <c r="AT69" s="6" t="s">
        <v>333</v>
      </c>
      <c r="AU69" s="342" t="s">
        <v>448</v>
      </c>
      <c r="AV69" s="7" t="s">
        <v>451</v>
      </c>
      <c r="AW69" s="7" t="s">
        <v>453</v>
      </c>
      <c r="AX69" s="7" t="s">
        <v>454</v>
      </c>
      <c r="AY69" s="6" t="s">
        <v>457</v>
      </c>
      <c r="AZ69" s="7" t="s">
        <v>495</v>
      </c>
      <c r="BA69" s="7" t="s">
        <v>554</v>
      </c>
      <c r="BB69" s="7" t="s">
        <v>561</v>
      </c>
      <c r="BC69" s="7" t="s">
        <v>561</v>
      </c>
      <c r="BD69" s="6" t="s">
        <v>574</v>
      </c>
      <c r="BE69" s="7" t="str">
        <f>+BE54</f>
        <v>Q1 2012</v>
      </c>
      <c r="BF69" s="7" t="s">
        <v>605</v>
      </c>
      <c r="BG69" s="7" t="s">
        <v>617</v>
      </c>
      <c r="BH69" s="7" t="str">
        <f>+BH54</f>
        <v>Q4 2012</v>
      </c>
      <c r="BI69" s="7" t="str">
        <f>+BI54</f>
        <v>FY 2012</v>
      </c>
    </row>
    <row r="70" spans="1:61" ht="12.75">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18"/>
      <c r="AJ70" s="18"/>
      <c r="AK70" s="19"/>
      <c r="AL70" s="19"/>
      <c r="AM70" s="19"/>
      <c r="AN70" s="18"/>
      <c r="AO70" s="18"/>
      <c r="AP70" s="19"/>
      <c r="AQ70" s="19"/>
      <c r="AR70" s="19"/>
      <c r="AS70" s="18"/>
      <c r="AT70" s="18"/>
      <c r="AU70" s="456"/>
      <c r="AV70" s="19"/>
      <c r="AW70" s="19"/>
      <c r="AX70" s="19"/>
      <c r="AY70" s="18"/>
      <c r="AZ70" s="19"/>
      <c r="BA70" s="19"/>
      <c r="BB70" s="19"/>
      <c r="BC70" s="19"/>
      <c r="BD70" s="18"/>
      <c r="BE70" s="19"/>
      <c r="BF70" s="19"/>
      <c r="BG70" s="19"/>
      <c r="BH70" s="516"/>
      <c r="BI70" s="516"/>
    </row>
    <row r="71" spans="1:61" ht="12.75">
      <c r="A71" s="40" t="s">
        <v>48</v>
      </c>
      <c r="B71" s="59">
        <v>115</v>
      </c>
      <c r="C71" s="59">
        <v>130.9</v>
      </c>
      <c r="D71" s="59">
        <v>152</v>
      </c>
      <c r="E71" s="59">
        <v>131.8</v>
      </c>
      <c r="F71" s="9">
        <v>529.7</v>
      </c>
      <c r="G71" s="59">
        <v>124.4</v>
      </c>
      <c r="H71" s="59">
        <v>133.9</v>
      </c>
      <c r="I71" s="59">
        <v>157.4</v>
      </c>
      <c r="J71" s="59">
        <v>133.3</v>
      </c>
      <c r="K71" s="9">
        <v>549</v>
      </c>
      <c r="L71" s="59">
        <v>106.5</v>
      </c>
      <c r="M71" s="59">
        <v>209.6</v>
      </c>
      <c r="N71" s="59">
        <v>219.1</v>
      </c>
      <c r="O71" s="59">
        <v>204.5</v>
      </c>
      <c r="P71" s="9">
        <v>739.7</v>
      </c>
      <c r="Q71" s="59">
        <v>175.3</v>
      </c>
      <c r="R71" s="59">
        <v>209.6</v>
      </c>
      <c r="S71" s="59">
        <v>224.1</v>
      </c>
      <c r="T71" s="59">
        <v>215.3</v>
      </c>
      <c r="U71" s="9">
        <v>824.3</v>
      </c>
      <c r="V71" s="59">
        <v>175.8</v>
      </c>
      <c r="W71" s="59">
        <v>229.5</v>
      </c>
      <c r="X71" s="59">
        <v>229.5</v>
      </c>
      <c r="Y71" s="59">
        <v>221.5</v>
      </c>
      <c r="Z71" s="9">
        <v>856.3</v>
      </c>
      <c r="AA71" s="59">
        <v>196.2</v>
      </c>
      <c r="AB71" s="59">
        <v>228.5</v>
      </c>
      <c r="AC71" s="59">
        <v>220.6</v>
      </c>
      <c r="AD71" s="59">
        <v>205.4</v>
      </c>
      <c r="AE71" s="9">
        <v>850.7</v>
      </c>
      <c r="AF71" s="59">
        <v>179.1</v>
      </c>
      <c r="AG71" s="59">
        <v>207.5</v>
      </c>
      <c r="AH71" s="59">
        <v>215.5</v>
      </c>
      <c r="AI71" s="59">
        <v>211.5</v>
      </c>
      <c r="AJ71" s="9">
        <f>SUM(AF71:AI71)</f>
        <v>813.6</v>
      </c>
      <c r="AK71" s="59">
        <v>201.1</v>
      </c>
      <c r="AL71" s="59">
        <v>226.8</v>
      </c>
      <c r="AM71" s="59">
        <v>249.5</v>
      </c>
      <c r="AN71" s="59">
        <v>227.1</v>
      </c>
      <c r="AO71" s="9">
        <v>904.5</v>
      </c>
      <c r="AP71" s="59">
        <v>198.5</v>
      </c>
      <c r="AQ71" s="59">
        <v>236.4</v>
      </c>
      <c r="AR71" s="59">
        <v>384.9</v>
      </c>
      <c r="AS71" s="59">
        <v>325.2</v>
      </c>
      <c r="AT71" s="9">
        <v>1145</v>
      </c>
      <c r="AU71" s="353">
        <v>271.1</v>
      </c>
      <c r="AV71" s="59">
        <v>325.1</v>
      </c>
      <c r="AW71" s="59">
        <v>363.8</v>
      </c>
      <c r="AX71" s="59">
        <v>299.8</v>
      </c>
      <c r="AY71" s="9">
        <v>1259.8</v>
      </c>
      <c r="AZ71" s="418">
        <v>260.1</v>
      </c>
      <c r="BA71" s="418">
        <v>303</v>
      </c>
      <c r="BB71" s="418">
        <v>338</v>
      </c>
      <c r="BC71" s="418">
        <v>281.6</v>
      </c>
      <c r="BD71" s="9">
        <f>SUM(AZ71:BC71)</f>
        <v>1182.7</v>
      </c>
      <c r="BE71" s="73">
        <v>242</v>
      </c>
      <c r="BF71" s="73">
        <v>280</v>
      </c>
      <c r="BG71" s="73">
        <v>310</v>
      </c>
      <c r="BH71" s="73">
        <v>267</v>
      </c>
      <c r="BI71" s="73">
        <f>SUM(BE71:BH71)</f>
        <v>1099</v>
      </c>
    </row>
    <row r="72" spans="1:61" ht="12.75">
      <c r="A72" s="40" t="s">
        <v>59</v>
      </c>
      <c r="B72" s="59">
        <v>84.9</v>
      </c>
      <c r="C72" s="59">
        <v>100.3</v>
      </c>
      <c r="D72" s="59">
        <v>110.8</v>
      </c>
      <c r="E72" s="59">
        <v>108.5</v>
      </c>
      <c r="F72" s="9">
        <v>404.5</v>
      </c>
      <c r="G72" s="59">
        <v>96.1</v>
      </c>
      <c r="H72" s="59">
        <v>104</v>
      </c>
      <c r="I72" s="59">
        <v>127.5</v>
      </c>
      <c r="J72" s="59">
        <v>115.2</v>
      </c>
      <c r="K72" s="9">
        <v>442.8</v>
      </c>
      <c r="L72" s="59">
        <v>91.7</v>
      </c>
      <c r="M72" s="59">
        <v>172.5</v>
      </c>
      <c r="N72" s="59">
        <v>183.5</v>
      </c>
      <c r="O72" s="59">
        <v>177.8</v>
      </c>
      <c r="P72" s="9">
        <v>625.5</v>
      </c>
      <c r="Q72" s="59">
        <v>153.5</v>
      </c>
      <c r="R72" s="59">
        <v>189.6</v>
      </c>
      <c r="S72" s="59">
        <v>207.7</v>
      </c>
      <c r="T72" s="59">
        <v>201.4</v>
      </c>
      <c r="U72" s="9">
        <v>752.2</v>
      </c>
      <c r="V72" s="59">
        <v>175.3</v>
      </c>
      <c r="W72" s="59">
        <v>239.1</v>
      </c>
      <c r="X72" s="59">
        <v>247.6</v>
      </c>
      <c r="Y72" s="59">
        <v>255.9</v>
      </c>
      <c r="Z72" s="9">
        <v>918</v>
      </c>
      <c r="AA72" s="59">
        <v>227.8</v>
      </c>
      <c r="AB72" s="59">
        <v>268</v>
      </c>
      <c r="AC72" s="59">
        <v>276.5</v>
      </c>
      <c r="AD72" s="59">
        <v>304</v>
      </c>
      <c r="AE72" s="9">
        <v>1076.3</v>
      </c>
      <c r="AF72" s="59">
        <v>247.7</v>
      </c>
      <c r="AG72" s="59">
        <v>283.5</v>
      </c>
      <c r="AH72" s="59">
        <v>297.5</v>
      </c>
      <c r="AI72" s="59">
        <v>314.2</v>
      </c>
      <c r="AJ72" s="9">
        <f>SUM(AF72:AI72)</f>
        <v>1142.9</v>
      </c>
      <c r="AK72" s="59">
        <v>303.7</v>
      </c>
      <c r="AL72" s="59">
        <v>343.5</v>
      </c>
      <c r="AM72" s="59">
        <v>370</v>
      </c>
      <c r="AN72" s="59">
        <v>353.9</v>
      </c>
      <c r="AO72" s="9">
        <v>1371.1</v>
      </c>
      <c r="AP72" s="59">
        <v>311.7</v>
      </c>
      <c r="AQ72" s="59">
        <v>362.7</v>
      </c>
      <c r="AR72" s="59">
        <v>614.5</v>
      </c>
      <c r="AS72" s="59">
        <v>543.5</v>
      </c>
      <c r="AT72" s="9">
        <v>1832</v>
      </c>
      <c r="AU72" s="353">
        <v>456.3</v>
      </c>
      <c r="AV72" s="59">
        <v>554.1</v>
      </c>
      <c r="AW72" s="59">
        <v>621.4</v>
      </c>
      <c r="AX72" s="59">
        <v>555.1</v>
      </c>
      <c r="AY72" s="9">
        <v>2186.9</v>
      </c>
      <c r="AZ72" s="418">
        <v>482.9</v>
      </c>
      <c r="BA72" s="418">
        <v>565.6</v>
      </c>
      <c r="BB72" s="418">
        <v>626</v>
      </c>
      <c r="BC72" s="418">
        <v>556.3</v>
      </c>
      <c r="BD72" s="9">
        <f>SUM(AZ72:BC72)</f>
        <v>2230.8</v>
      </c>
      <c r="BE72" s="73">
        <v>475</v>
      </c>
      <c r="BF72" s="73">
        <v>547</v>
      </c>
      <c r="BG72" s="73">
        <v>613</v>
      </c>
      <c r="BH72" s="73">
        <f>550+0.5</f>
        <v>550.5</v>
      </c>
      <c r="BI72" s="73">
        <f>SUM(BE72:BH72)</f>
        <v>2185.5</v>
      </c>
    </row>
    <row r="73" spans="1:61" ht="12.75">
      <c r="A73" s="40" t="s">
        <v>51</v>
      </c>
      <c r="B73" s="59">
        <v>2.8</v>
      </c>
      <c r="C73" s="59">
        <v>3.1000000000000085</v>
      </c>
      <c r="D73" s="59">
        <v>3.8000000000000256</v>
      </c>
      <c r="E73" s="59">
        <v>4.599999999999838</v>
      </c>
      <c r="F73" s="9">
        <v>14.299999999999873</v>
      </c>
      <c r="G73" s="59">
        <v>4</v>
      </c>
      <c r="H73" s="59">
        <v>3.6999999999999886</v>
      </c>
      <c r="I73" s="59">
        <v>4.300000000000011</v>
      </c>
      <c r="J73" s="59">
        <v>5.599999999999852</v>
      </c>
      <c r="K73" s="9">
        <v>17.599999999999852</v>
      </c>
      <c r="L73" s="59">
        <v>4.6000000000000085</v>
      </c>
      <c r="M73" s="59">
        <v>4.599999999999994</v>
      </c>
      <c r="N73" s="59">
        <v>5.400000000000006</v>
      </c>
      <c r="O73" s="59">
        <v>5.199999999999989</v>
      </c>
      <c r="P73" s="9">
        <v>19.8</v>
      </c>
      <c r="Q73" s="59">
        <v>5.199999999999989</v>
      </c>
      <c r="R73" s="59">
        <v>5.199999999999989</v>
      </c>
      <c r="S73" s="59">
        <v>6.500000000000028</v>
      </c>
      <c r="T73" s="59">
        <v>7.900000000000006</v>
      </c>
      <c r="U73" s="9">
        <v>24.8</v>
      </c>
      <c r="V73" s="59">
        <v>6.399999999999977</v>
      </c>
      <c r="W73" s="59">
        <v>6.799999999999983</v>
      </c>
      <c r="X73" s="59">
        <v>7.299999999999983</v>
      </c>
      <c r="Y73" s="59">
        <v>8.1</v>
      </c>
      <c r="Z73" s="9">
        <v>28.3</v>
      </c>
      <c r="AA73" s="59">
        <v>6.399999999999977</v>
      </c>
      <c r="AB73" s="59">
        <v>6.399999999999977</v>
      </c>
      <c r="AC73" s="59">
        <v>7.4</v>
      </c>
      <c r="AD73" s="59">
        <v>6.5</v>
      </c>
      <c r="AE73" s="9">
        <v>26.7</v>
      </c>
      <c r="AF73" s="59">
        <v>5.6</v>
      </c>
      <c r="AG73" s="59">
        <v>6.5</v>
      </c>
      <c r="AH73" s="59">
        <v>7.6</v>
      </c>
      <c r="AI73" s="59">
        <v>9.3</v>
      </c>
      <c r="AJ73" s="9">
        <f>SUM(AF73:AI73)</f>
        <v>29</v>
      </c>
      <c r="AK73" s="59">
        <v>9.5</v>
      </c>
      <c r="AL73" s="59">
        <v>10.4</v>
      </c>
      <c r="AM73" s="59">
        <v>12.8</v>
      </c>
      <c r="AN73" s="59">
        <v>10.9</v>
      </c>
      <c r="AO73" s="9">
        <v>43.6</v>
      </c>
      <c r="AP73" s="59">
        <v>10.6</v>
      </c>
      <c r="AQ73" s="59">
        <v>12.2</v>
      </c>
      <c r="AR73" s="59">
        <v>29.4</v>
      </c>
      <c r="AS73" s="59">
        <v>28.83</v>
      </c>
      <c r="AT73" s="9">
        <v>81</v>
      </c>
      <c r="AU73" s="353">
        <f>5.1+1.3+8.1+4.7+6.5+0.3</f>
        <v>26</v>
      </c>
      <c r="AV73" s="59">
        <v>31</v>
      </c>
      <c r="AW73" s="59">
        <v>17</v>
      </c>
      <c r="AX73" s="59">
        <v>24.7</v>
      </c>
      <c r="AY73" s="9">
        <v>98.7</v>
      </c>
      <c r="AZ73" s="418">
        <v>20.9</v>
      </c>
      <c r="BA73" s="418">
        <v>23.3</v>
      </c>
      <c r="BB73" s="418">
        <v>26.4</v>
      </c>
      <c r="BC73" s="418">
        <v>22.9</v>
      </c>
      <c r="BD73" s="9">
        <f>SUM(AZ73:BC73)</f>
        <v>93.5</v>
      </c>
      <c r="BE73" s="73">
        <v>20</v>
      </c>
      <c r="BF73" s="73">
        <v>22</v>
      </c>
      <c r="BG73" s="73">
        <v>25</v>
      </c>
      <c r="BH73" s="73">
        <v>23</v>
      </c>
      <c r="BI73" s="73">
        <f>SUM(BE73:BH73)</f>
        <v>90</v>
      </c>
    </row>
    <row r="74" spans="1:61" ht="12.75">
      <c r="A74" s="39" t="s">
        <v>61</v>
      </c>
      <c r="B74" s="60">
        <v>202.7</v>
      </c>
      <c r="C74" s="60">
        <v>234.3</v>
      </c>
      <c r="D74" s="60">
        <v>266.6</v>
      </c>
      <c r="E74" s="60">
        <v>244.9</v>
      </c>
      <c r="F74" s="11">
        <v>948.5</v>
      </c>
      <c r="G74" s="60">
        <v>224.5</v>
      </c>
      <c r="H74" s="60">
        <v>241.6</v>
      </c>
      <c r="I74" s="60">
        <v>289.2</v>
      </c>
      <c r="J74" s="60">
        <v>254.1</v>
      </c>
      <c r="K74" s="11">
        <v>1009.4</v>
      </c>
      <c r="L74" s="60">
        <v>202.8</v>
      </c>
      <c r="M74" s="60">
        <v>386.7</v>
      </c>
      <c r="N74" s="60">
        <v>408</v>
      </c>
      <c r="O74" s="60">
        <v>387.5</v>
      </c>
      <c r="P74" s="11">
        <v>1385</v>
      </c>
      <c r="Q74" s="60">
        <v>334</v>
      </c>
      <c r="R74" s="60">
        <v>404.4</v>
      </c>
      <c r="S74" s="60">
        <v>438.3</v>
      </c>
      <c r="T74" s="60">
        <v>424.6</v>
      </c>
      <c r="U74" s="11">
        <v>1601.3</v>
      </c>
      <c r="V74" s="60">
        <v>357.5</v>
      </c>
      <c r="W74" s="60">
        <v>475.4</v>
      </c>
      <c r="X74" s="60">
        <v>484.4</v>
      </c>
      <c r="Y74" s="60">
        <v>485.5</v>
      </c>
      <c r="Z74" s="11">
        <v>1802.6</v>
      </c>
      <c r="AA74" s="60">
        <v>430.4</v>
      </c>
      <c r="AB74" s="60">
        <v>502.9</v>
      </c>
      <c r="AC74" s="60">
        <v>504.5</v>
      </c>
      <c r="AD74" s="60">
        <v>515.9</v>
      </c>
      <c r="AE74" s="11">
        <v>1953.7</v>
      </c>
      <c r="AF74" s="60">
        <f>+AF71+AF72+AF73</f>
        <v>432.4</v>
      </c>
      <c r="AG74" s="60">
        <f>+AG71+AG72+AG73</f>
        <v>497.5</v>
      </c>
      <c r="AH74" s="60">
        <f>+AH71+AH72+AH73</f>
        <v>520.6</v>
      </c>
      <c r="AI74" s="60">
        <f>SUM(AI71:AI73)</f>
        <v>535</v>
      </c>
      <c r="AJ74" s="11">
        <f>SUM(AF74:AI74)</f>
        <v>1985.5</v>
      </c>
      <c r="AK74" s="60">
        <v>514.3</v>
      </c>
      <c r="AL74" s="60">
        <v>580.7</v>
      </c>
      <c r="AM74" s="60">
        <v>632.3</v>
      </c>
      <c r="AN74" s="60">
        <v>591.9</v>
      </c>
      <c r="AO74" s="11">
        <v>2319.2</v>
      </c>
      <c r="AP74" s="60">
        <v>520.8</v>
      </c>
      <c r="AQ74" s="60">
        <v>611.3</v>
      </c>
      <c r="AR74" s="60">
        <f>SUM(AR71:AR73)</f>
        <v>1028.8</v>
      </c>
      <c r="AS74" s="60">
        <v>897.5</v>
      </c>
      <c r="AT74" s="11">
        <v>3058.4</v>
      </c>
      <c r="AU74" s="344">
        <f>SUM(AU71:AU73)</f>
        <v>753.4000000000001</v>
      </c>
      <c r="AV74" s="60">
        <f>SUM(AV71:AV73)</f>
        <v>910.2</v>
      </c>
      <c r="AW74" s="60">
        <f>SUM(AW71:AW73)</f>
        <v>1002.2</v>
      </c>
      <c r="AX74" s="60">
        <f>SUM(AX71:AX73)</f>
        <v>879.6000000000001</v>
      </c>
      <c r="AY74" s="11">
        <v>3545.4</v>
      </c>
      <c r="AZ74" s="419">
        <f aca="true" t="shared" si="12" ref="AZ74:BG74">SUM(AZ71:AZ73)</f>
        <v>763.9</v>
      </c>
      <c r="BA74" s="419">
        <f t="shared" si="12"/>
        <v>891.9</v>
      </c>
      <c r="BB74" s="419">
        <f t="shared" si="12"/>
        <v>990.4</v>
      </c>
      <c r="BC74" s="419">
        <f t="shared" si="12"/>
        <v>860.8</v>
      </c>
      <c r="BD74" s="11">
        <f t="shared" si="12"/>
        <v>3507</v>
      </c>
      <c r="BE74" s="75">
        <f t="shared" si="12"/>
        <v>737</v>
      </c>
      <c r="BF74" s="75">
        <f t="shared" si="12"/>
        <v>849</v>
      </c>
      <c r="BG74" s="75">
        <f t="shared" si="12"/>
        <v>948</v>
      </c>
      <c r="BH74" s="75">
        <f>SUM(BH71:BH73)</f>
        <v>840.5</v>
      </c>
      <c r="BI74" s="75">
        <f>SUM(BE74:BH74)</f>
        <v>3374.5</v>
      </c>
    </row>
    <row r="75" ht="12.75"/>
    <row r="76" ht="12.75"/>
    <row r="77" spans="1:61" s="34" customFormat="1" ht="12.75">
      <c r="A77" s="71" t="s">
        <v>378</v>
      </c>
      <c r="B77" s="7" t="s">
        <v>2</v>
      </c>
      <c r="C77" s="7" t="s">
        <v>3</v>
      </c>
      <c r="D77" s="7" t="s">
        <v>4</v>
      </c>
      <c r="E77" s="6" t="s">
        <v>5</v>
      </c>
      <c r="F77" s="6" t="s">
        <v>6</v>
      </c>
      <c r="G77" s="7" t="s">
        <v>12</v>
      </c>
      <c r="H77" s="7" t="s">
        <v>13</v>
      </c>
      <c r="I77" s="7" t="s">
        <v>14</v>
      </c>
      <c r="J77" s="6" t="s">
        <v>15</v>
      </c>
      <c r="K77" s="6" t="s">
        <v>16</v>
      </c>
      <c r="L77" s="7" t="s">
        <v>17</v>
      </c>
      <c r="M77" s="7" t="s">
        <v>18</v>
      </c>
      <c r="N77" s="7" t="s">
        <v>19</v>
      </c>
      <c r="O77" s="6" t="s">
        <v>20</v>
      </c>
      <c r="P77" s="6" t="s">
        <v>21</v>
      </c>
      <c r="Q77" s="7" t="s">
        <v>22</v>
      </c>
      <c r="R77" s="7" t="s">
        <v>23</v>
      </c>
      <c r="S77" s="7" t="s">
        <v>24</v>
      </c>
      <c r="T77" s="6" t="s">
        <v>25</v>
      </c>
      <c r="U77" s="6" t="s">
        <v>26</v>
      </c>
      <c r="V77" s="7" t="s">
        <v>27</v>
      </c>
      <c r="W77" s="7" t="s">
        <v>28</v>
      </c>
      <c r="X77" s="7" t="s">
        <v>29</v>
      </c>
      <c r="Y77" s="6" t="s">
        <v>30</v>
      </c>
      <c r="Z77" s="6" t="s">
        <v>31</v>
      </c>
      <c r="AA77" s="7" t="s">
        <v>32</v>
      </c>
      <c r="AB77" s="7" t="s">
        <v>33</v>
      </c>
      <c r="AC77" s="7" t="s">
        <v>34</v>
      </c>
      <c r="AD77" s="6" t="s">
        <v>271</v>
      </c>
      <c r="AE77" s="6" t="s">
        <v>272</v>
      </c>
      <c r="AF77" s="7" t="s">
        <v>274</v>
      </c>
      <c r="AG77" s="7" t="s">
        <v>276</v>
      </c>
      <c r="AH77" s="7" t="s">
        <v>278</v>
      </c>
      <c r="AI77" s="6" t="s">
        <v>280</v>
      </c>
      <c r="AJ77" s="6" t="s">
        <v>281</v>
      </c>
      <c r="AK77" s="7" t="s">
        <v>289</v>
      </c>
      <c r="AL77" s="7" t="s">
        <v>290</v>
      </c>
      <c r="AM77" s="7" t="s">
        <v>291</v>
      </c>
      <c r="AN77" s="6" t="s">
        <v>292</v>
      </c>
      <c r="AO77" s="6" t="s">
        <v>293</v>
      </c>
      <c r="AP77" s="7" t="s">
        <v>329</v>
      </c>
      <c r="AQ77" s="7" t="s">
        <v>330</v>
      </c>
      <c r="AR77" s="7" t="s">
        <v>331</v>
      </c>
      <c r="AS77" s="6" t="s">
        <v>332</v>
      </c>
      <c r="AT77" s="6" t="s">
        <v>333</v>
      </c>
      <c r="AU77" s="342" t="s">
        <v>448</v>
      </c>
      <c r="AV77" s="7" t="s">
        <v>451</v>
      </c>
      <c r="AW77" s="7" t="s">
        <v>453</v>
      </c>
      <c r="AX77" s="7" t="s">
        <v>454</v>
      </c>
      <c r="AY77" s="6" t="s">
        <v>457</v>
      </c>
      <c r="AZ77" s="7" t="s">
        <v>495</v>
      </c>
      <c r="BA77" s="7" t="s">
        <v>554</v>
      </c>
      <c r="BB77" s="7" t="s">
        <v>561</v>
      </c>
      <c r="BC77" s="7" t="s">
        <v>570</v>
      </c>
      <c r="BD77" s="6" t="s">
        <v>574</v>
      </c>
      <c r="BE77" s="7" t="str">
        <f>+BE69</f>
        <v>Q1 2012</v>
      </c>
      <c r="BF77" s="7" t="s">
        <v>605</v>
      </c>
      <c r="BG77" s="7" t="s">
        <v>617</v>
      </c>
      <c r="BH77" s="7" t="str">
        <f>+BH69</f>
        <v>Q4 2012</v>
      </c>
      <c r="BI77" s="7" t="str">
        <f>+BI69</f>
        <v>FY 2012</v>
      </c>
    </row>
    <row r="78" spans="1:61" s="34" customFormat="1" ht="12.75" customHeight="1">
      <c r="A78" s="72"/>
      <c r="B78" s="37"/>
      <c r="C78" s="37"/>
      <c r="D78" s="37"/>
      <c r="E78" s="38"/>
      <c r="F78" s="38"/>
      <c r="G78" s="37"/>
      <c r="H78" s="37"/>
      <c r="I78" s="37"/>
      <c r="J78" s="38"/>
      <c r="K78" s="38"/>
      <c r="L78" s="37"/>
      <c r="M78" s="37"/>
      <c r="N78" s="37"/>
      <c r="O78" s="38"/>
      <c r="P78" s="38"/>
      <c r="Q78" s="37"/>
      <c r="R78" s="37"/>
      <c r="S78" s="37"/>
      <c r="T78" s="38"/>
      <c r="U78" s="38"/>
      <c r="V78" s="37"/>
      <c r="W78" s="37"/>
      <c r="X78" s="37"/>
      <c r="Y78" s="38"/>
      <c r="Z78" s="38"/>
      <c r="AA78" s="37"/>
      <c r="AB78" s="37"/>
      <c r="AC78" s="37"/>
      <c r="AD78" s="38"/>
      <c r="AE78" s="38"/>
      <c r="AF78" s="37"/>
      <c r="AG78" s="37"/>
      <c r="AH78" s="37"/>
      <c r="AI78" s="38"/>
      <c r="AJ78" s="38"/>
      <c r="AK78" s="37"/>
      <c r="AL78" s="37"/>
      <c r="AM78" s="37"/>
      <c r="AN78" s="38"/>
      <c r="AO78" s="38"/>
      <c r="AP78" s="37"/>
      <c r="AQ78" s="37"/>
      <c r="AR78" s="37"/>
      <c r="AS78" s="38"/>
      <c r="AT78" s="38"/>
      <c r="AU78" s="345"/>
      <c r="AV78" s="37"/>
      <c r="AW78" s="37"/>
      <c r="AX78" s="37"/>
      <c r="AY78" s="38"/>
      <c r="AZ78" s="37"/>
      <c r="BA78" s="37"/>
      <c r="BB78" s="37"/>
      <c r="BC78" s="37"/>
      <c r="BD78" s="38"/>
      <c r="BE78" s="37"/>
      <c r="BF78" s="37"/>
      <c r="BG78" s="37"/>
      <c r="BH78" s="516"/>
      <c r="BI78" s="516"/>
    </row>
    <row r="79" spans="1:61" s="34" customFormat="1" ht="12.75" customHeight="1">
      <c r="A79" s="76" t="s">
        <v>63</v>
      </c>
      <c r="B79" s="73">
        <v>94</v>
      </c>
      <c r="C79" s="74">
        <v>93</v>
      </c>
      <c r="D79" s="73">
        <v>80</v>
      </c>
      <c r="E79" s="73">
        <v>92</v>
      </c>
      <c r="F79" s="41">
        <v>359</v>
      </c>
      <c r="G79" s="73">
        <v>89</v>
      </c>
      <c r="H79" s="74">
        <v>98</v>
      </c>
      <c r="I79" s="73">
        <v>92</v>
      </c>
      <c r="J79" s="73">
        <v>86</v>
      </c>
      <c r="K79" s="41">
        <v>365</v>
      </c>
      <c r="L79" s="73">
        <v>89.5</v>
      </c>
      <c r="M79" s="74">
        <v>128.5</v>
      </c>
      <c r="N79" s="73">
        <v>131.5</v>
      </c>
      <c r="O79" s="73">
        <v>141.5</v>
      </c>
      <c r="P79" s="41">
        <v>491</v>
      </c>
      <c r="Q79" s="73">
        <v>148.954</v>
      </c>
      <c r="R79" s="74">
        <v>151.9</v>
      </c>
      <c r="S79" s="73">
        <v>145.46</v>
      </c>
      <c r="T79" s="73">
        <v>148.962</v>
      </c>
      <c r="U79" s="41">
        <v>595.2760000000001</v>
      </c>
      <c r="V79" s="73">
        <v>192.816</v>
      </c>
      <c r="W79" s="74">
        <v>195.07</v>
      </c>
      <c r="X79" s="73">
        <v>196.072</v>
      </c>
      <c r="Y79" s="73">
        <v>212.533</v>
      </c>
      <c r="Z79" s="41">
        <v>796.491</v>
      </c>
      <c r="AA79" s="73">
        <v>205.44</v>
      </c>
      <c r="AB79" s="74">
        <v>203.84</v>
      </c>
      <c r="AC79" s="73">
        <v>164.229</v>
      </c>
      <c r="AD79" s="73">
        <v>202</v>
      </c>
      <c r="AE79" s="41">
        <v>775</v>
      </c>
      <c r="AF79" s="73">
        <v>206</v>
      </c>
      <c r="AG79" s="74">
        <v>219</v>
      </c>
      <c r="AH79" s="73">
        <v>215</v>
      </c>
      <c r="AI79" s="73">
        <v>230</v>
      </c>
      <c r="AJ79" s="41">
        <v>870</v>
      </c>
      <c r="AK79" s="73">
        <v>229</v>
      </c>
      <c r="AL79" s="74">
        <v>193</v>
      </c>
      <c r="AM79" s="73">
        <v>182</v>
      </c>
      <c r="AN79" s="73">
        <v>208</v>
      </c>
      <c r="AO79" s="41">
        <v>812</v>
      </c>
      <c r="AP79" s="73">
        <v>199</v>
      </c>
      <c r="AQ79" s="74">
        <v>164</v>
      </c>
      <c r="AR79" s="73">
        <v>216</v>
      </c>
      <c r="AS79" s="73">
        <v>211</v>
      </c>
      <c r="AT79" s="41">
        <v>790</v>
      </c>
      <c r="AU79" s="449">
        <v>211</v>
      </c>
      <c r="AV79" s="73">
        <v>183</v>
      </c>
      <c r="AW79" s="73">
        <v>214</v>
      </c>
      <c r="AX79" s="73">
        <v>186</v>
      </c>
      <c r="AY79" s="41">
        <v>794</v>
      </c>
      <c r="AZ79" s="73">
        <v>210</v>
      </c>
      <c r="BA79" s="73">
        <v>211</v>
      </c>
      <c r="BB79" s="73">
        <v>194</v>
      </c>
      <c r="BC79" s="73">
        <v>171</v>
      </c>
      <c r="BD79" s="41">
        <f aca="true" t="shared" si="13" ref="BD79:BD84">SUM(AZ79:BC79)</f>
        <v>786</v>
      </c>
      <c r="BE79" s="73">
        <v>179</v>
      </c>
      <c r="BF79" s="73">
        <v>126</v>
      </c>
      <c r="BG79" s="73">
        <v>139</v>
      </c>
      <c r="BH79" s="73">
        <v>181</v>
      </c>
      <c r="BI79" s="73">
        <f>SUM(BE79:BH79)-2</f>
        <v>623</v>
      </c>
    </row>
    <row r="80" spans="1:61" s="34" customFormat="1" ht="12.75" customHeight="1">
      <c r="A80" s="76" t="s">
        <v>64</v>
      </c>
      <c r="B80" s="73">
        <v>48</v>
      </c>
      <c r="C80" s="74">
        <v>47</v>
      </c>
      <c r="D80" s="73">
        <v>41</v>
      </c>
      <c r="E80" s="73">
        <v>49</v>
      </c>
      <c r="F80" s="41">
        <v>185</v>
      </c>
      <c r="G80" s="73">
        <v>48</v>
      </c>
      <c r="H80" s="74">
        <v>52</v>
      </c>
      <c r="I80" s="73">
        <v>50</v>
      </c>
      <c r="J80" s="73">
        <v>47</v>
      </c>
      <c r="K80" s="41">
        <v>197</v>
      </c>
      <c r="L80" s="73">
        <v>48</v>
      </c>
      <c r="M80" s="74">
        <v>64</v>
      </c>
      <c r="N80" s="73">
        <v>64.6</v>
      </c>
      <c r="O80" s="73">
        <v>71.072</v>
      </c>
      <c r="P80" s="41">
        <v>247.672</v>
      </c>
      <c r="Q80" s="73">
        <v>75.098</v>
      </c>
      <c r="R80" s="74">
        <v>77.9</v>
      </c>
      <c r="S80" s="73">
        <v>74.684</v>
      </c>
      <c r="T80" s="73">
        <v>78.556</v>
      </c>
      <c r="U80" s="41">
        <v>306.238</v>
      </c>
      <c r="V80" s="73">
        <v>101.002</v>
      </c>
      <c r="W80" s="74">
        <v>99.484</v>
      </c>
      <c r="X80" s="73">
        <v>98.178</v>
      </c>
      <c r="Y80" s="73">
        <v>105.06</v>
      </c>
      <c r="Z80" s="41">
        <v>403.724</v>
      </c>
      <c r="AA80" s="73">
        <v>101.128</v>
      </c>
      <c r="AB80" s="74">
        <v>100.456</v>
      </c>
      <c r="AC80" s="73">
        <v>81.001</v>
      </c>
      <c r="AD80" s="73">
        <v>103</v>
      </c>
      <c r="AE80" s="41">
        <v>386</v>
      </c>
      <c r="AF80" s="73">
        <v>105</v>
      </c>
      <c r="AG80" s="74">
        <v>111</v>
      </c>
      <c r="AH80" s="73">
        <v>106</v>
      </c>
      <c r="AI80" s="73">
        <v>116</v>
      </c>
      <c r="AJ80" s="41">
        <v>439</v>
      </c>
      <c r="AK80" s="73">
        <v>114</v>
      </c>
      <c r="AL80" s="74">
        <v>96</v>
      </c>
      <c r="AM80" s="73">
        <v>90</v>
      </c>
      <c r="AN80" s="73">
        <v>105</v>
      </c>
      <c r="AO80" s="41">
        <v>404</v>
      </c>
      <c r="AP80" s="73">
        <v>101</v>
      </c>
      <c r="AQ80" s="74">
        <v>82</v>
      </c>
      <c r="AR80" s="73">
        <v>106</v>
      </c>
      <c r="AS80" s="73">
        <v>105</v>
      </c>
      <c r="AT80" s="41">
        <v>394</v>
      </c>
      <c r="AU80" s="449">
        <v>105</v>
      </c>
      <c r="AV80" s="73">
        <v>91</v>
      </c>
      <c r="AW80" s="73">
        <v>107</v>
      </c>
      <c r="AX80" s="73">
        <v>95</v>
      </c>
      <c r="AY80" s="41">
        <v>398</v>
      </c>
      <c r="AZ80" s="73">
        <v>108</v>
      </c>
      <c r="BA80" s="73">
        <v>107</v>
      </c>
      <c r="BB80" s="73">
        <v>98</v>
      </c>
      <c r="BC80" s="73">
        <v>90</v>
      </c>
      <c r="BD80" s="41">
        <f t="shared" si="13"/>
        <v>403</v>
      </c>
      <c r="BE80" s="73">
        <v>94</v>
      </c>
      <c r="BF80" s="73">
        <v>66</v>
      </c>
      <c r="BG80" s="73">
        <v>69</v>
      </c>
      <c r="BH80" s="73">
        <v>92</v>
      </c>
      <c r="BI80" s="73">
        <f>SUM(BE80:BH80)</f>
        <v>321</v>
      </c>
    </row>
    <row r="81" spans="1:61" s="34" customFormat="1" ht="12.75" customHeight="1">
      <c r="A81" s="76" t="s">
        <v>65</v>
      </c>
      <c r="B81" s="73">
        <v>26</v>
      </c>
      <c r="C81" s="74">
        <v>28</v>
      </c>
      <c r="D81" s="73">
        <v>25</v>
      </c>
      <c r="E81" s="73">
        <v>28</v>
      </c>
      <c r="F81" s="41">
        <v>107</v>
      </c>
      <c r="G81" s="73">
        <v>28</v>
      </c>
      <c r="H81" s="74">
        <v>30</v>
      </c>
      <c r="I81" s="73">
        <v>27</v>
      </c>
      <c r="J81" s="73">
        <v>28</v>
      </c>
      <c r="K81" s="41">
        <v>113</v>
      </c>
      <c r="L81" s="73">
        <v>29.2</v>
      </c>
      <c r="M81" s="74">
        <v>57.8</v>
      </c>
      <c r="N81" s="73">
        <v>67.996</v>
      </c>
      <c r="O81" s="73">
        <v>64.563</v>
      </c>
      <c r="P81" s="41">
        <v>219.55899999999997</v>
      </c>
      <c r="Q81" s="73">
        <v>73.824</v>
      </c>
      <c r="R81" s="74">
        <v>72.7</v>
      </c>
      <c r="S81" s="73">
        <v>75.135</v>
      </c>
      <c r="T81" s="73">
        <v>72.29</v>
      </c>
      <c r="U81" s="41">
        <v>293.949</v>
      </c>
      <c r="V81" s="73">
        <v>73.339</v>
      </c>
      <c r="W81" s="74">
        <v>74.924</v>
      </c>
      <c r="X81" s="73">
        <v>66.949</v>
      </c>
      <c r="Y81" s="73">
        <v>68.807</v>
      </c>
      <c r="Z81" s="41">
        <v>284.019</v>
      </c>
      <c r="AA81" s="73">
        <v>67.456</v>
      </c>
      <c r="AB81" s="74">
        <v>70.539</v>
      </c>
      <c r="AC81" s="73">
        <v>67.479</v>
      </c>
      <c r="AD81" s="73">
        <v>57</v>
      </c>
      <c r="AE81" s="41">
        <v>263</v>
      </c>
      <c r="AF81" s="73">
        <v>64</v>
      </c>
      <c r="AG81" s="74">
        <v>71</v>
      </c>
      <c r="AH81" s="73">
        <v>68</v>
      </c>
      <c r="AI81" s="73">
        <v>65</v>
      </c>
      <c r="AJ81" s="41">
        <v>270</v>
      </c>
      <c r="AK81" s="73">
        <v>69</v>
      </c>
      <c r="AL81" s="74">
        <v>51</v>
      </c>
      <c r="AM81" s="73">
        <v>61</v>
      </c>
      <c r="AN81" s="73">
        <v>66</v>
      </c>
      <c r="AO81" s="41">
        <v>246</v>
      </c>
      <c r="AP81" s="73">
        <v>60</v>
      </c>
      <c r="AQ81" s="74">
        <v>54</v>
      </c>
      <c r="AR81" s="73">
        <v>60</v>
      </c>
      <c r="AS81" s="73">
        <v>57</v>
      </c>
      <c r="AT81" s="41">
        <v>231</v>
      </c>
      <c r="AU81" s="449">
        <v>55</v>
      </c>
      <c r="AV81" s="73">
        <v>50</v>
      </c>
      <c r="AW81" s="73">
        <v>58</v>
      </c>
      <c r="AX81" s="73">
        <v>53</v>
      </c>
      <c r="AY81" s="41">
        <v>216</v>
      </c>
      <c r="AZ81" s="73">
        <v>65</v>
      </c>
      <c r="BA81" s="73">
        <v>62</v>
      </c>
      <c r="BB81" s="73">
        <v>59</v>
      </c>
      <c r="BC81" s="73">
        <v>58</v>
      </c>
      <c r="BD81" s="41">
        <f t="shared" si="13"/>
        <v>244</v>
      </c>
      <c r="BE81" s="73">
        <v>54</v>
      </c>
      <c r="BF81" s="73">
        <v>24</v>
      </c>
      <c r="BG81" s="73">
        <v>43</v>
      </c>
      <c r="BH81" s="73">
        <v>44</v>
      </c>
      <c r="BI81" s="73">
        <f>SUM(BE81:BH81)-1</f>
        <v>164</v>
      </c>
    </row>
    <row r="82" spans="1:61" s="34" customFormat="1" ht="12.75" customHeight="1">
      <c r="A82" s="76" t="s">
        <v>66</v>
      </c>
      <c r="B82" s="73">
        <v>48</v>
      </c>
      <c r="C82" s="74">
        <v>49</v>
      </c>
      <c r="D82" s="73">
        <v>40</v>
      </c>
      <c r="E82" s="73">
        <v>47</v>
      </c>
      <c r="F82" s="41">
        <v>184</v>
      </c>
      <c r="G82" s="73">
        <v>49</v>
      </c>
      <c r="H82" s="74">
        <v>51</v>
      </c>
      <c r="I82" s="73">
        <v>49</v>
      </c>
      <c r="J82" s="73">
        <v>45</v>
      </c>
      <c r="K82" s="41">
        <v>194</v>
      </c>
      <c r="L82" s="73">
        <v>44.288</v>
      </c>
      <c r="M82" s="74">
        <v>50.6</v>
      </c>
      <c r="N82" s="73">
        <v>41.102</v>
      </c>
      <c r="O82" s="73">
        <v>51.643</v>
      </c>
      <c r="P82" s="41">
        <v>187.633</v>
      </c>
      <c r="Q82" s="73">
        <v>48.762</v>
      </c>
      <c r="R82" s="74">
        <v>48.3</v>
      </c>
      <c r="S82" s="73">
        <v>46.666</v>
      </c>
      <c r="T82" s="73">
        <v>50.853</v>
      </c>
      <c r="U82" s="41">
        <v>194.58100000000002</v>
      </c>
      <c r="V82" s="73">
        <v>78.224</v>
      </c>
      <c r="W82" s="74">
        <v>81.355</v>
      </c>
      <c r="X82" s="73">
        <v>94.809</v>
      </c>
      <c r="Y82" s="73">
        <v>98.415</v>
      </c>
      <c r="Z82" s="41">
        <v>352.803</v>
      </c>
      <c r="AA82" s="73">
        <v>97.821</v>
      </c>
      <c r="AB82" s="74">
        <v>84.427</v>
      </c>
      <c r="AC82" s="73">
        <v>77.422</v>
      </c>
      <c r="AD82" s="73">
        <v>100</v>
      </c>
      <c r="AE82" s="41">
        <v>360</v>
      </c>
      <c r="AF82" s="73">
        <v>96</v>
      </c>
      <c r="AG82" s="74">
        <v>105</v>
      </c>
      <c r="AH82" s="73">
        <v>95</v>
      </c>
      <c r="AI82" s="73">
        <v>109</v>
      </c>
      <c r="AJ82" s="41">
        <v>404</v>
      </c>
      <c r="AK82" s="73">
        <v>105</v>
      </c>
      <c r="AL82" s="74">
        <v>89</v>
      </c>
      <c r="AM82" s="73">
        <v>72</v>
      </c>
      <c r="AN82" s="73">
        <v>95</v>
      </c>
      <c r="AO82" s="41">
        <v>361</v>
      </c>
      <c r="AP82" s="73">
        <v>93</v>
      </c>
      <c r="AQ82" s="74">
        <v>71</v>
      </c>
      <c r="AR82" s="73">
        <v>111</v>
      </c>
      <c r="AS82" s="73">
        <v>112</v>
      </c>
      <c r="AT82" s="41">
        <v>387</v>
      </c>
      <c r="AU82" s="449">
        <v>113</v>
      </c>
      <c r="AV82" s="73">
        <v>94</v>
      </c>
      <c r="AW82" s="73">
        <v>106</v>
      </c>
      <c r="AX82" s="73">
        <v>104</v>
      </c>
      <c r="AY82" s="41">
        <v>417</v>
      </c>
      <c r="AZ82" s="73">
        <v>112</v>
      </c>
      <c r="BA82" s="73">
        <v>104</v>
      </c>
      <c r="BB82" s="73">
        <v>99</v>
      </c>
      <c r="BC82" s="73">
        <v>73</v>
      </c>
      <c r="BD82" s="41">
        <f t="shared" si="13"/>
        <v>388</v>
      </c>
      <c r="BE82" s="73">
        <v>88</v>
      </c>
      <c r="BF82" s="73">
        <v>65</v>
      </c>
      <c r="BG82" s="73">
        <v>70</v>
      </c>
      <c r="BH82" s="73">
        <v>98</v>
      </c>
      <c r="BI82" s="73">
        <f>SUM(BE82:BH82)+1</f>
        <v>322</v>
      </c>
    </row>
    <row r="83" spans="1:61" s="34" customFormat="1" ht="12.75" customHeight="1">
      <c r="A83" s="76" t="s">
        <v>67</v>
      </c>
      <c r="B83" s="73">
        <v>66</v>
      </c>
      <c r="C83" s="74">
        <v>67</v>
      </c>
      <c r="D83" s="73">
        <v>60</v>
      </c>
      <c r="E83" s="73">
        <v>67</v>
      </c>
      <c r="F83" s="41">
        <v>260</v>
      </c>
      <c r="G83" s="73">
        <v>67</v>
      </c>
      <c r="H83" s="74">
        <v>74</v>
      </c>
      <c r="I83" s="73">
        <v>75</v>
      </c>
      <c r="J83" s="73">
        <v>62</v>
      </c>
      <c r="K83" s="41">
        <v>278</v>
      </c>
      <c r="L83" s="73">
        <v>70.442</v>
      </c>
      <c r="M83" s="74">
        <v>78.6</v>
      </c>
      <c r="N83" s="73">
        <v>87.222</v>
      </c>
      <c r="O83" s="73">
        <v>93.632</v>
      </c>
      <c r="P83" s="41">
        <v>329.89599999999996</v>
      </c>
      <c r="Q83" s="73">
        <v>94.875</v>
      </c>
      <c r="R83" s="74">
        <v>96.23</v>
      </c>
      <c r="S83" s="73">
        <v>86.387</v>
      </c>
      <c r="T83" s="73">
        <v>92.374</v>
      </c>
      <c r="U83" s="41">
        <v>369.866</v>
      </c>
      <c r="V83" s="73">
        <v>90.981</v>
      </c>
      <c r="W83" s="74">
        <v>111.373</v>
      </c>
      <c r="X83" s="73">
        <v>108.075</v>
      </c>
      <c r="Y83" s="73">
        <v>130.97</v>
      </c>
      <c r="Z83" s="41">
        <v>441.399</v>
      </c>
      <c r="AA83" s="73">
        <v>126.859</v>
      </c>
      <c r="AB83" s="74">
        <v>124.84</v>
      </c>
      <c r="AC83" s="73">
        <v>122.025</v>
      </c>
      <c r="AD83" s="73">
        <v>122</v>
      </c>
      <c r="AE83" s="41">
        <v>496</v>
      </c>
      <c r="AF83" s="73">
        <v>137</v>
      </c>
      <c r="AG83" s="74">
        <v>131</v>
      </c>
      <c r="AH83" s="73">
        <v>134</v>
      </c>
      <c r="AI83" s="73">
        <v>144</v>
      </c>
      <c r="AJ83" s="41">
        <v>545</v>
      </c>
      <c r="AK83" s="73">
        <v>141</v>
      </c>
      <c r="AL83" s="74">
        <v>122</v>
      </c>
      <c r="AM83" s="73">
        <v>117</v>
      </c>
      <c r="AN83" s="73">
        <v>135</v>
      </c>
      <c r="AO83" s="41">
        <v>515</v>
      </c>
      <c r="AP83" s="73">
        <v>131</v>
      </c>
      <c r="AQ83" s="74">
        <v>108</v>
      </c>
      <c r="AR83" s="73">
        <v>136</v>
      </c>
      <c r="AS83" s="73">
        <v>136</v>
      </c>
      <c r="AT83" s="41">
        <v>511</v>
      </c>
      <c r="AU83" s="449">
        <v>132</v>
      </c>
      <c r="AV83" s="73">
        <v>105</v>
      </c>
      <c r="AW83" s="73">
        <v>140</v>
      </c>
      <c r="AX83" s="73">
        <v>133</v>
      </c>
      <c r="AY83" s="41">
        <v>510</v>
      </c>
      <c r="AZ83" s="73">
        <v>141</v>
      </c>
      <c r="BA83" s="73">
        <v>138</v>
      </c>
      <c r="BB83" s="73">
        <v>129</v>
      </c>
      <c r="BC83" s="73">
        <v>129</v>
      </c>
      <c r="BD83" s="41">
        <f t="shared" si="13"/>
        <v>537</v>
      </c>
      <c r="BE83" s="73">
        <v>127</v>
      </c>
      <c r="BF83" s="73">
        <v>92</v>
      </c>
      <c r="BG83" s="73">
        <v>102</v>
      </c>
      <c r="BH83" s="73">
        <v>126</v>
      </c>
      <c r="BI83" s="73">
        <f>SUM(BE83:BH83)</f>
        <v>447</v>
      </c>
    </row>
    <row r="84" spans="1:61" s="34" customFormat="1" ht="12.75" customHeight="1">
      <c r="A84" s="76" t="s">
        <v>51</v>
      </c>
      <c r="B84" s="73">
        <v>82</v>
      </c>
      <c r="C84" s="74">
        <v>62</v>
      </c>
      <c r="D84" s="73">
        <v>54</v>
      </c>
      <c r="E84" s="73">
        <v>68</v>
      </c>
      <c r="F84" s="41">
        <v>266</v>
      </c>
      <c r="G84" s="73">
        <v>65</v>
      </c>
      <c r="H84" s="74">
        <v>68</v>
      </c>
      <c r="I84" s="73">
        <v>63</v>
      </c>
      <c r="J84" s="73">
        <v>65</v>
      </c>
      <c r="K84" s="41">
        <v>261</v>
      </c>
      <c r="L84" s="73">
        <v>54</v>
      </c>
      <c r="M84" s="74">
        <v>91.9</v>
      </c>
      <c r="N84" s="73">
        <v>116.861</v>
      </c>
      <c r="O84" s="73">
        <v>135.112</v>
      </c>
      <c r="P84" s="41">
        <v>397.87300000000005</v>
      </c>
      <c r="Q84" s="73">
        <v>137.272</v>
      </c>
      <c r="R84" s="74">
        <v>130.615</v>
      </c>
      <c r="S84" s="73">
        <v>125.187</v>
      </c>
      <c r="T84" s="73">
        <v>150.278</v>
      </c>
      <c r="U84" s="41">
        <v>543.352</v>
      </c>
      <c r="V84" s="73">
        <v>200.202</v>
      </c>
      <c r="W84" s="74">
        <v>192.264</v>
      </c>
      <c r="X84" s="73">
        <v>178.358</v>
      </c>
      <c r="Y84" s="73">
        <v>200.691</v>
      </c>
      <c r="Z84" s="41">
        <v>771.515</v>
      </c>
      <c r="AA84" s="73">
        <v>185.2</v>
      </c>
      <c r="AB84" s="74">
        <v>176.886</v>
      </c>
      <c r="AC84" s="73">
        <v>146.283</v>
      </c>
      <c r="AD84" s="73">
        <v>178</v>
      </c>
      <c r="AE84" s="41">
        <v>687</v>
      </c>
      <c r="AF84" s="73">
        <v>178</v>
      </c>
      <c r="AG84" s="74">
        <v>197</v>
      </c>
      <c r="AH84" s="73">
        <v>183</v>
      </c>
      <c r="AI84" s="73">
        <v>199</v>
      </c>
      <c r="AJ84" s="41">
        <v>757</v>
      </c>
      <c r="AK84" s="73">
        <v>212</v>
      </c>
      <c r="AL84" s="74">
        <v>158</v>
      </c>
      <c r="AM84" s="73">
        <v>156</v>
      </c>
      <c r="AN84" s="73">
        <v>185</v>
      </c>
      <c r="AO84" s="41">
        <v>711</v>
      </c>
      <c r="AP84" s="73">
        <v>171</v>
      </c>
      <c r="AQ84" s="74">
        <v>134</v>
      </c>
      <c r="AR84" s="73">
        <v>195</v>
      </c>
      <c r="AS84" s="73">
        <v>199</v>
      </c>
      <c r="AT84" s="41">
        <v>699</v>
      </c>
      <c r="AU84" s="449">
        <v>210</v>
      </c>
      <c r="AV84" s="73">
        <f>706-AV79-AV80-AV81-AV82-AV83</f>
        <v>183</v>
      </c>
      <c r="AW84" s="73">
        <v>216</v>
      </c>
      <c r="AX84" s="73">
        <v>186</v>
      </c>
      <c r="AY84" s="41">
        <v>796</v>
      </c>
      <c r="AZ84" s="73">
        <v>211</v>
      </c>
      <c r="BA84" s="73">
        <v>197</v>
      </c>
      <c r="BB84" s="73">
        <v>190</v>
      </c>
      <c r="BC84" s="73">
        <v>163</v>
      </c>
      <c r="BD84" s="41">
        <f t="shared" si="13"/>
        <v>761</v>
      </c>
      <c r="BE84" s="73">
        <v>160</v>
      </c>
      <c r="BF84" s="73">
        <v>101</v>
      </c>
      <c r="BG84" s="73">
        <v>113</v>
      </c>
      <c r="BH84" s="73">
        <v>160</v>
      </c>
      <c r="BI84" s="73">
        <f>SUM(BE84:BH84)</f>
        <v>534</v>
      </c>
    </row>
    <row r="85" spans="60:61" ht="12.75">
      <c r="BH85" s="23"/>
      <c r="BI85" s="23"/>
    </row>
    <row r="86" spans="1:61" s="34" customFormat="1" ht="25.5">
      <c r="A86" s="71" t="s">
        <v>379</v>
      </c>
      <c r="B86" s="7" t="s">
        <v>2</v>
      </c>
      <c r="C86" s="7" t="s">
        <v>3</v>
      </c>
      <c r="D86" s="7" t="s">
        <v>4</v>
      </c>
      <c r="E86" s="6" t="s">
        <v>5</v>
      </c>
      <c r="F86" s="6" t="s">
        <v>6</v>
      </c>
      <c r="G86" s="7" t="s">
        <v>12</v>
      </c>
      <c r="H86" s="7" t="s">
        <v>13</v>
      </c>
      <c r="I86" s="7" t="s">
        <v>14</v>
      </c>
      <c r="J86" s="6" t="s">
        <v>15</v>
      </c>
      <c r="K86" s="6" t="s">
        <v>16</v>
      </c>
      <c r="L86" s="7" t="s">
        <v>17</v>
      </c>
      <c r="M86" s="7" t="s">
        <v>18</v>
      </c>
      <c r="N86" s="7" t="s">
        <v>19</v>
      </c>
      <c r="O86" s="6" t="s">
        <v>20</v>
      </c>
      <c r="P86" s="6" t="s">
        <v>21</v>
      </c>
      <c r="Q86" s="7" t="s">
        <v>22</v>
      </c>
      <c r="R86" s="7" t="s">
        <v>23</v>
      </c>
      <c r="S86" s="7" t="s">
        <v>24</v>
      </c>
      <c r="T86" s="6" t="s">
        <v>25</v>
      </c>
      <c r="U86" s="6" t="s">
        <v>26</v>
      </c>
      <c r="V86" s="7" t="s">
        <v>27</v>
      </c>
      <c r="W86" s="7" t="s">
        <v>28</v>
      </c>
      <c r="X86" s="7" t="s">
        <v>29</v>
      </c>
      <c r="Y86" s="6" t="s">
        <v>30</v>
      </c>
      <c r="Z86" s="6" t="s">
        <v>31</v>
      </c>
      <c r="AA86" s="7" t="s">
        <v>32</v>
      </c>
      <c r="AB86" s="7" t="s">
        <v>33</v>
      </c>
      <c r="AC86" s="7" t="s">
        <v>34</v>
      </c>
      <c r="AD86" s="6" t="s">
        <v>271</v>
      </c>
      <c r="AE86" s="6" t="s">
        <v>272</v>
      </c>
      <c r="AF86" s="7" t="s">
        <v>274</v>
      </c>
      <c r="AG86" s="7" t="s">
        <v>276</v>
      </c>
      <c r="AH86" s="7" t="s">
        <v>278</v>
      </c>
      <c r="AI86" s="6" t="s">
        <v>280</v>
      </c>
      <c r="AJ86" s="6" t="s">
        <v>281</v>
      </c>
      <c r="AK86" s="7" t="s">
        <v>289</v>
      </c>
      <c r="AL86" s="7" t="s">
        <v>290</v>
      </c>
      <c r="AM86" s="7" t="s">
        <v>291</v>
      </c>
      <c r="AN86" s="6" t="s">
        <v>292</v>
      </c>
      <c r="AO86" s="6" t="s">
        <v>293</v>
      </c>
      <c r="AP86" s="7" t="s">
        <v>329</v>
      </c>
      <c r="AQ86" s="7" t="s">
        <v>330</v>
      </c>
      <c r="AR86" s="7" t="s">
        <v>331</v>
      </c>
      <c r="AS86" s="6" t="s">
        <v>332</v>
      </c>
      <c r="AT86" s="6" t="s">
        <v>333</v>
      </c>
      <c r="AU86" s="342" t="s">
        <v>448</v>
      </c>
      <c r="AV86" s="7" t="s">
        <v>451</v>
      </c>
      <c r="AW86" s="7" t="s">
        <v>453</v>
      </c>
      <c r="AX86" s="7" t="s">
        <v>454</v>
      </c>
      <c r="AY86" s="6" t="s">
        <v>457</v>
      </c>
      <c r="AZ86" s="7" t="s">
        <v>495</v>
      </c>
      <c r="BA86" s="7" t="s">
        <v>554</v>
      </c>
      <c r="BB86" s="7" t="s">
        <v>561</v>
      </c>
      <c r="BC86" s="7" t="s">
        <v>570</v>
      </c>
      <c r="BD86" s="6" t="s">
        <v>574</v>
      </c>
      <c r="BE86" s="534" t="str">
        <f>+BE77</f>
        <v>Q1 2012</v>
      </c>
      <c r="BF86" s="534" t="s">
        <v>605</v>
      </c>
      <c r="BG86" s="534" t="s">
        <v>617</v>
      </c>
      <c r="BH86" s="534" t="str">
        <f>+BH77</f>
        <v>Q4 2012</v>
      </c>
      <c r="BI86" s="534" t="str">
        <f>+BI77</f>
        <v>FY 2012</v>
      </c>
    </row>
    <row r="87" spans="1:61" s="34" customFormat="1" ht="12.75">
      <c r="A87" s="72"/>
      <c r="B87" s="37"/>
      <c r="C87" s="37"/>
      <c r="D87" s="37"/>
      <c r="E87" s="38"/>
      <c r="F87" s="38"/>
      <c r="G87" s="37"/>
      <c r="H87" s="37"/>
      <c r="I87" s="37"/>
      <c r="J87" s="38"/>
      <c r="K87" s="38"/>
      <c r="L87" s="37"/>
      <c r="M87" s="37"/>
      <c r="N87" s="37"/>
      <c r="O87" s="38"/>
      <c r="P87" s="38"/>
      <c r="Q87" s="37"/>
      <c r="R87" s="37"/>
      <c r="S87" s="37"/>
      <c r="T87" s="38"/>
      <c r="U87" s="38"/>
      <c r="V87" s="37"/>
      <c r="W87" s="37"/>
      <c r="X87" s="37"/>
      <c r="Y87" s="38"/>
      <c r="Z87" s="38"/>
      <c r="AA87" s="37"/>
      <c r="AB87" s="37"/>
      <c r="AC87" s="37"/>
      <c r="AD87" s="38"/>
      <c r="AE87" s="38"/>
      <c r="AF87" s="37"/>
      <c r="AG87" s="37"/>
      <c r="AH87" s="37"/>
      <c r="AI87" s="38"/>
      <c r="AJ87" s="38"/>
      <c r="AK87" s="37"/>
      <c r="AL87" s="37"/>
      <c r="AM87" s="37"/>
      <c r="AN87" s="38"/>
      <c r="AO87" s="38"/>
      <c r="AP87" s="37"/>
      <c r="AQ87" s="37"/>
      <c r="AR87" s="37"/>
      <c r="AS87" s="38"/>
      <c r="AT87" s="38"/>
      <c r="AU87" s="345"/>
      <c r="AV87" s="37"/>
      <c r="AW87" s="37"/>
      <c r="AX87" s="37"/>
      <c r="AY87" s="38"/>
      <c r="AZ87" s="37"/>
      <c r="BA87" s="37"/>
      <c r="BB87" s="37"/>
      <c r="BC87" s="37"/>
      <c r="BD87" s="38"/>
      <c r="BE87" s="19"/>
      <c r="BF87" s="19"/>
      <c r="BG87" s="19"/>
      <c r="BH87" s="19"/>
      <c r="BI87" s="19"/>
    </row>
    <row r="88" spans="1:61" s="34" customFormat="1" ht="12.75">
      <c r="A88" s="76" t="s">
        <v>68</v>
      </c>
      <c r="B88" s="73">
        <v>65</v>
      </c>
      <c r="C88" s="74">
        <v>53</v>
      </c>
      <c r="D88" s="73">
        <v>48</v>
      </c>
      <c r="E88" s="73">
        <v>54.9</v>
      </c>
      <c r="F88" s="41">
        <v>221.106488</v>
      </c>
      <c r="G88" s="73">
        <v>52.2</v>
      </c>
      <c r="H88" s="74">
        <v>55.4</v>
      </c>
      <c r="I88" s="73">
        <v>51.80162</v>
      </c>
      <c r="J88" s="73">
        <v>62.23946000000001</v>
      </c>
      <c r="K88" s="41">
        <v>221.64108</v>
      </c>
      <c r="L88" s="73">
        <v>53.602399999999996</v>
      </c>
      <c r="M88" s="74">
        <v>85.23783859</v>
      </c>
      <c r="N88" s="73">
        <v>98.85318532000001</v>
      </c>
      <c r="O88" s="73">
        <v>92.77856959399998</v>
      </c>
      <c r="P88" s="41">
        <v>330.471993504</v>
      </c>
      <c r="Q88" s="73">
        <v>46.1733</v>
      </c>
      <c r="R88" s="74">
        <v>53.842110000000005</v>
      </c>
      <c r="S88" s="73">
        <v>34.50805999999999</v>
      </c>
      <c r="T88" s="73">
        <v>50.39074000000002</v>
      </c>
      <c r="U88" s="41">
        <v>184.91421000000003</v>
      </c>
      <c r="V88" s="73">
        <v>53.59087000000002</v>
      </c>
      <c r="W88" s="74">
        <v>57.25812099999998</v>
      </c>
      <c r="X88" s="73">
        <v>58.94639400000001</v>
      </c>
      <c r="Y88" s="73">
        <v>59.774941</v>
      </c>
      <c r="Z88" s="41">
        <v>229.57032600000002</v>
      </c>
      <c r="AA88" s="73">
        <v>56.7</v>
      </c>
      <c r="AB88" s="74">
        <v>67.79453600000001</v>
      </c>
      <c r="AC88" s="73">
        <v>50.05593000000001</v>
      </c>
      <c r="AD88" s="73">
        <v>69</v>
      </c>
      <c r="AE88" s="41">
        <v>244</v>
      </c>
      <c r="AF88" s="73">
        <v>63</v>
      </c>
      <c r="AG88" s="74">
        <v>79</v>
      </c>
      <c r="AH88" s="73">
        <v>66</v>
      </c>
      <c r="AI88" s="73">
        <v>70</v>
      </c>
      <c r="AJ88" s="41">
        <v>277</v>
      </c>
      <c r="AK88" s="73">
        <v>64</v>
      </c>
      <c r="AL88" s="74">
        <v>67</v>
      </c>
      <c r="AM88" s="73">
        <v>55</v>
      </c>
      <c r="AN88" s="73">
        <v>53</v>
      </c>
      <c r="AO88" s="41">
        <v>240</v>
      </c>
      <c r="AP88" s="73">
        <v>56</v>
      </c>
      <c r="AQ88" s="74">
        <v>37</v>
      </c>
      <c r="AR88" s="73">
        <v>47</v>
      </c>
      <c r="AS88" s="73">
        <v>53</v>
      </c>
      <c r="AT88" s="41">
        <v>193</v>
      </c>
      <c r="AU88" s="449">
        <v>59</v>
      </c>
      <c r="AV88" s="73">
        <v>64</v>
      </c>
      <c r="AW88" s="73">
        <v>71</v>
      </c>
      <c r="AX88" s="73">
        <v>76</v>
      </c>
      <c r="AY88" s="41">
        <v>270</v>
      </c>
      <c r="AZ88" s="73">
        <v>86</v>
      </c>
      <c r="BA88" s="73">
        <v>88</v>
      </c>
      <c r="BB88" s="73">
        <v>83</v>
      </c>
      <c r="BC88" s="73">
        <v>84</v>
      </c>
      <c r="BD88" s="41">
        <f>SUM(AZ88:BC88)</f>
        <v>341</v>
      </c>
      <c r="BE88" s="73">
        <v>92</v>
      </c>
      <c r="BF88" s="73">
        <v>89</v>
      </c>
      <c r="BG88" s="73">
        <v>65</v>
      </c>
      <c r="BH88" s="73">
        <v>73</v>
      </c>
      <c r="BI88" s="73">
        <f>SUM(BE88:BH88)-1</f>
        <v>318</v>
      </c>
    </row>
    <row r="89" spans="1:61" s="34" customFormat="1" ht="12.75">
      <c r="A89" s="76" t="s">
        <v>69</v>
      </c>
      <c r="B89" s="73">
        <v>138</v>
      </c>
      <c r="C89" s="74">
        <v>146</v>
      </c>
      <c r="D89" s="73">
        <v>133.5</v>
      </c>
      <c r="E89" s="73">
        <v>139.510723</v>
      </c>
      <c r="F89" s="41">
        <v>556.546571</v>
      </c>
      <c r="G89" s="73">
        <v>150.2541940000001</v>
      </c>
      <c r="H89" s="74">
        <v>141.7</v>
      </c>
      <c r="I89" s="73">
        <v>144.49618400000003</v>
      </c>
      <c r="J89" s="73">
        <v>160</v>
      </c>
      <c r="K89" s="41">
        <v>596.4503780000001</v>
      </c>
      <c r="L89" s="73">
        <v>153</v>
      </c>
      <c r="M89" s="74">
        <v>190.090217</v>
      </c>
      <c r="N89" s="73">
        <v>207.52485000000001</v>
      </c>
      <c r="O89" s="73">
        <v>211.62893</v>
      </c>
      <c r="P89" s="41">
        <v>762.243997</v>
      </c>
      <c r="Q89" s="73">
        <v>214.55376</v>
      </c>
      <c r="R89" s="74">
        <v>228.134317</v>
      </c>
      <c r="S89" s="73">
        <v>210.652176</v>
      </c>
      <c r="T89" s="73">
        <v>219.00023573</v>
      </c>
      <c r="U89" s="41">
        <v>872.3404887300001</v>
      </c>
      <c r="V89" s="73">
        <v>224.043262</v>
      </c>
      <c r="W89" s="74">
        <v>272.001565</v>
      </c>
      <c r="X89" s="73">
        <v>274.529775</v>
      </c>
      <c r="Y89" s="73">
        <v>294.33311999999995</v>
      </c>
      <c r="Z89" s="41">
        <v>1064.907722</v>
      </c>
      <c r="AA89" s="73">
        <v>298.339327</v>
      </c>
      <c r="AB89" s="74">
        <v>266.15727300000003</v>
      </c>
      <c r="AC89" s="73">
        <v>268.60834700000004</v>
      </c>
      <c r="AD89" s="73">
        <v>293</v>
      </c>
      <c r="AE89" s="41">
        <v>1126</v>
      </c>
      <c r="AF89" s="73">
        <v>289</v>
      </c>
      <c r="AG89" s="74">
        <v>300</v>
      </c>
      <c r="AH89" s="73">
        <v>294</v>
      </c>
      <c r="AI89" s="73">
        <v>326</v>
      </c>
      <c r="AJ89" s="41">
        <v>1210</v>
      </c>
      <c r="AK89" s="73">
        <v>306</v>
      </c>
      <c r="AL89" s="74">
        <v>271</v>
      </c>
      <c r="AM89" s="73">
        <v>248</v>
      </c>
      <c r="AN89" s="73">
        <v>294</v>
      </c>
      <c r="AO89" s="41">
        <v>1118</v>
      </c>
      <c r="AP89" s="73">
        <v>278</v>
      </c>
      <c r="AQ89" s="74">
        <v>261</v>
      </c>
      <c r="AR89" s="73">
        <v>298</v>
      </c>
      <c r="AS89" s="73">
        <v>316</v>
      </c>
      <c r="AT89" s="41">
        <v>1153</v>
      </c>
      <c r="AU89" s="449">
        <v>292</v>
      </c>
      <c r="AV89" s="73">
        <v>251</v>
      </c>
      <c r="AW89" s="73">
        <v>307</v>
      </c>
      <c r="AX89" s="73">
        <v>295</v>
      </c>
      <c r="AY89" s="41">
        <v>1145</v>
      </c>
      <c r="AZ89" s="73">
        <v>306</v>
      </c>
      <c r="BA89" s="73">
        <v>297</v>
      </c>
      <c r="BB89" s="73">
        <v>284</v>
      </c>
      <c r="BC89" s="73">
        <v>276</v>
      </c>
      <c r="BD89" s="41">
        <f>SUM(AZ89:BC89)</f>
        <v>1163</v>
      </c>
      <c r="BE89" s="73">
        <v>236</v>
      </c>
      <c r="BF89" s="73">
        <v>208</v>
      </c>
      <c r="BG89" s="73">
        <v>210</v>
      </c>
      <c r="BH89" s="73">
        <v>255</v>
      </c>
      <c r="BI89" s="73">
        <f>SUM(BE89:BH89)+2</f>
        <v>911</v>
      </c>
    </row>
    <row r="90" spans="1:61" s="34" customFormat="1" ht="12.75" customHeight="1">
      <c r="A90" s="482" t="s">
        <v>542</v>
      </c>
      <c r="B90" s="77"/>
      <c r="C90" s="78"/>
      <c r="D90" s="77"/>
      <c r="E90" s="77"/>
      <c r="G90" s="77"/>
      <c r="H90" s="78"/>
      <c r="I90" s="77"/>
      <c r="J90" s="77"/>
      <c r="L90" s="77"/>
      <c r="M90" s="78"/>
      <c r="N90" s="77"/>
      <c r="O90" s="77"/>
      <c r="Q90" s="77"/>
      <c r="R90" s="78"/>
      <c r="S90" s="77"/>
      <c r="T90" s="77"/>
      <c r="V90" s="77"/>
      <c r="W90" s="78"/>
      <c r="X90" s="77"/>
      <c r="Y90" s="77"/>
      <c r="AA90" s="77"/>
      <c r="AB90" s="78"/>
      <c r="AC90" s="77"/>
      <c r="AD90" s="77"/>
      <c r="AF90" s="77"/>
      <c r="AG90" s="78"/>
      <c r="AH90" s="77"/>
      <c r="AI90" s="77"/>
      <c r="AK90" s="77"/>
      <c r="AL90" s="78"/>
      <c r="AM90" s="77"/>
      <c r="AN90" s="77"/>
      <c r="AP90" s="77"/>
      <c r="AQ90" s="78"/>
      <c r="AR90" s="77"/>
      <c r="AS90" s="77"/>
      <c r="AU90" s="449">
        <v>181</v>
      </c>
      <c r="AV90" s="77"/>
      <c r="AW90" s="77"/>
      <c r="AX90" s="73">
        <v>161</v>
      </c>
      <c r="AY90" s="41">
        <v>694</v>
      </c>
      <c r="AZ90" s="73">
        <v>173</v>
      </c>
      <c r="BA90" s="73">
        <v>170</v>
      </c>
      <c r="BB90" s="73">
        <v>151</v>
      </c>
      <c r="BC90" s="73">
        <v>138</v>
      </c>
      <c r="BD90" s="41">
        <f>SUM(AZ90:BC90)</f>
        <v>632</v>
      </c>
      <c r="BE90" s="73">
        <v>127</v>
      </c>
      <c r="BF90" s="73">
        <v>71</v>
      </c>
      <c r="BG90" s="73">
        <v>92</v>
      </c>
      <c r="BH90" s="73">
        <v>130</v>
      </c>
      <c r="BI90" s="73">
        <f>SUM(BE90:BH90)</f>
        <v>420</v>
      </c>
    </row>
    <row r="91" spans="1:61" s="34" customFormat="1" ht="12.75">
      <c r="A91" s="69"/>
      <c r="C91" s="70"/>
      <c r="H91" s="70"/>
      <c r="M91" s="70"/>
      <c r="R91" s="70"/>
      <c r="W91" s="70"/>
      <c r="AB91" s="70"/>
      <c r="AG91" s="70"/>
      <c r="AL91" s="70"/>
      <c r="AQ91" s="70"/>
      <c r="AU91" s="460"/>
      <c r="BH91" s="526"/>
      <c r="BI91" s="526"/>
    </row>
    <row r="92" spans="1:61" s="34" customFormat="1" ht="12.75">
      <c r="A92" s="71" t="s">
        <v>380</v>
      </c>
      <c r="B92" s="7" t="s">
        <v>2</v>
      </c>
      <c r="C92" s="7" t="s">
        <v>3</v>
      </c>
      <c r="D92" s="7" t="s">
        <v>4</v>
      </c>
      <c r="E92" s="6" t="s">
        <v>5</v>
      </c>
      <c r="F92" s="6" t="s">
        <v>6</v>
      </c>
      <c r="G92" s="7" t="s">
        <v>12</v>
      </c>
      <c r="H92" s="7" t="s">
        <v>13</v>
      </c>
      <c r="I92" s="7" t="s">
        <v>14</v>
      </c>
      <c r="J92" s="6" t="s">
        <v>15</v>
      </c>
      <c r="K92" s="6" t="s">
        <v>16</v>
      </c>
      <c r="L92" s="7" t="s">
        <v>17</v>
      </c>
      <c r="M92" s="7" t="s">
        <v>18</v>
      </c>
      <c r="N92" s="7" t="s">
        <v>19</v>
      </c>
      <c r="O92" s="6" t="s">
        <v>20</v>
      </c>
      <c r="P92" s="6" t="s">
        <v>21</v>
      </c>
      <c r="Q92" s="7" t="s">
        <v>22</v>
      </c>
      <c r="R92" s="7" t="s">
        <v>23</v>
      </c>
      <c r="S92" s="7" t="s">
        <v>24</v>
      </c>
      <c r="T92" s="6" t="s">
        <v>25</v>
      </c>
      <c r="U92" s="6" t="s">
        <v>26</v>
      </c>
      <c r="V92" s="7" t="s">
        <v>27</v>
      </c>
      <c r="W92" s="7" t="s">
        <v>28</v>
      </c>
      <c r="X92" s="7" t="s">
        <v>29</v>
      </c>
      <c r="Y92" s="6" t="s">
        <v>30</v>
      </c>
      <c r="Z92" s="6" t="s">
        <v>31</v>
      </c>
      <c r="AA92" s="7" t="s">
        <v>32</v>
      </c>
      <c r="AB92" s="7" t="s">
        <v>33</v>
      </c>
      <c r="AC92" s="7" t="s">
        <v>34</v>
      </c>
      <c r="AD92" s="6" t="s">
        <v>271</v>
      </c>
      <c r="AE92" s="6" t="s">
        <v>272</v>
      </c>
      <c r="AF92" s="7" t="s">
        <v>274</v>
      </c>
      <c r="AG92" s="7" t="s">
        <v>276</v>
      </c>
      <c r="AH92" s="7" t="s">
        <v>278</v>
      </c>
      <c r="AI92" s="6" t="s">
        <v>280</v>
      </c>
      <c r="AJ92" s="6" t="s">
        <v>281</v>
      </c>
      <c r="AK92" s="7" t="s">
        <v>289</v>
      </c>
      <c r="AL92" s="7" t="s">
        <v>290</v>
      </c>
      <c r="AM92" s="7" t="s">
        <v>291</v>
      </c>
      <c r="AN92" s="6" t="s">
        <v>292</v>
      </c>
      <c r="AO92" s="6" t="s">
        <v>293</v>
      </c>
      <c r="AP92" s="7" t="s">
        <v>329</v>
      </c>
      <c r="AQ92" s="7" t="s">
        <v>330</v>
      </c>
      <c r="AR92" s="7" t="s">
        <v>331</v>
      </c>
      <c r="AS92" s="6" t="s">
        <v>332</v>
      </c>
      <c r="AT92" s="6" t="s">
        <v>333</v>
      </c>
      <c r="AU92" s="342" t="s">
        <v>448</v>
      </c>
      <c r="AV92" s="7" t="s">
        <v>451</v>
      </c>
      <c r="AW92" s="7" t="s">
        <v>453</v>
      </c>
      <c r="AX92" s="7" t="s">
        <v>454</v>
      </c>
      <c r="AY92" s="6" t="s">
        <v>457</v>
      </c>
      <c r="AZ92" s="327"/>
      <c r="BA92" s="327"/>
      <c r="BB92" s="327"/>
      <c r="BC92" s="327"/>
      <c r="BD92" s="318"/>
      <c r="BE92" s="327"/>
      <c r="BF92" s="327"/>
      <c r="BG92" s="327"/>
      <c r="BH92" s="521"/>
      <c r="BI92" s="521"/>
    </row>
    <row r="93" spans="1:61" s="34" customFormat="1" ht="12.75">
      <c r="A93" s="72"/>
      <c r="B93" s="37"/>
      <c r="C93" s="37"/>
      <c r="D93" s="37"/>
      <c r="E93" s="38"/>
      <c r="F93" s="38"/>
      <c r="G93" s="37"/>
      <c r="H93" s="37"/>
      <c r="I93" s="37"/>
      <c r="J93" s="38"/>
      <c r="K93" s="38"/>
      <c r="L93" s="37"/>
      <c r="M93" s="37"/>
      <c r="N93" s="37"/>
      <c r="O93" s="38"/>
      <c r="P93" s="38"/>
      <c r="Q93" s="37"/>
      <c r="R93" s="37"/>
      <c r="S93" s="37"/>
      <c r="T93" s="38"/>
      <c r="U93" s="38"/>
      <c r="V93" s="37"/>
      <c r="W93" s="37"/>
      <c r="X93" s="37"/>
      <c r="Y93" s="38"/>
      <c r="Z93" s="38"/>
      <c r="AA93" s="37"/>
      <c r="AB93" s="37"/>
      <c r="AC93" s="37"/>
      <c r="AD93" s="38"/>
      <c r="AE93" s="38"/>
      <c r="AF93" s="37"/>
      <c r="AG93" s="37"/>
      <c r="AH93" s="37"/>
      <c r="AI93" s="38"/>
      <c r="AJ93" s="38"/>
      <c r="AK93" s="37"/>
      <c r="AL93" s="37"/>
      <c r="AM93" s="37"/>
      <c r="AN93" s="38"/>
      <c r="AO93" s="38"/>
      <c r="AP93" s="37"/>
      <c r="AQ93" s="37"/>
      <c r="AR93" s="37"/>
      <c r="AS93" s="38"/>
      <c r="AT93" s="38"/>
      <c r="AU93" s="345"/>
      <c r="AV93" s="37"/>
      <c r="AW93" s="37"/>
      <c r="AX93" s="37"/>
      <c r="AY93" s="38"/>
      <c r="AZ93" s="327"/>
      <c r="BA93" s="327"/>
      <c r="BB93" s="327"/>
      <c r="BC93" s="327"/>
      <c r="BD93" s="318"/>
      <c r="BE93" s="327"/>
      <c r="BF93" s="327"/>
      <c r="BG93" s="327"/>
      <c r="BH93" s="521"/>
      <c r="BI93" s="521"/>
    </row>
    <row r="94" spans="1:256" s="318" customFormat="1" ht="12.75">
      <c r="A94" s="76" t="s">
        <v>55</v>
      </c>
      <c r="B94" s="73">
        <v>96</v>
      </c>
      <c r="C94" s="74">
        <v>94</v>
      </c>
      <c r="D94" s="73">
        <v>95</v>
      </c>
      <c r="E94" s="73">
        <v>95.602591</v>
      </c>
      <c r="F94" s="41">
        <v>380.602591</v>
      </c>
      <c r="G94" s="73">
        <v>100.39625</v>
      </c>
      <c r="H94" s="74">
        <v>102.7</v>
      </c>
      <c r="I94" s="73">
        <v>89.21643</v>
      </c>
      <c r="J94" s="73">
        <v>104.93767100000001</v>
      </c>
      <c r="K94" s="41">
        <v>397.250351</v>
      </c>
      <c r="L94" s="73">
        <v>93</v>
      </c>
      <c r="M94" s="74">
        <v>90</v>
      </c>
      <c r="N94" s="73">
        <v>97</v>
      </c>
      <c r="O94" s="73">
        <v>113.34267928799997</v>
      </c>
      <c r="P94" s="41">
        <v>393.342679288</v>
      </c>
      <c r="Q94" s="73">
        <v>105.53642400000001</v>
      </c>
      <c r="R94" s="74">
        <v>116.582667</v>
      </c>
      <c r="S94" s="73">
        <v>96.89637200000001</v>
      </c>
      <c r="T94" s="73">
        <v>110.68965500000003</v>
      </c>
      <c r="U94" s="41">
        <v>429.7051180000001</v>
      </c>
      <c r="V94" s="73">
        <v>105.419055</v>
      </c>
      <c r="W94" s="74">
        <v>115.65942199999999</v>
      </c>
      <c r="X94" s="73">
        <v>128.063547</v>
      </c>
      <c r="Y94" s="73">
        <v>118.69154099999989</v>
      </c>
      <c r="Z94" s="41">
        <v>467.8335649999999</v>
      </c>
      <c r="AA94" s="73">
        <v>120.23634</v>
      </c>
      <c r="AB94" s="74">
        <v>122.420643</v>
      </c>
      <c r="AC94" s="73">
        <v>106.87138100000001</v>
      </c>
      <c r="AD94" s="73">
        <v>130</v>
      </c>
      <c r="AE94" s="41">
        <v>479</v>
      </c>
      <c r="AF94" s="73">
        <v>119</v>
      </c>
      <c r="AG94" s="74">
        <v>128</v>
      </c>
      <c r="AH94" s="73">
        <v>120</v>
      </c>
      <c r="AI94" s="73">
        <v>124</v>
      </c>
      <c r="AJ94" s="41">
        <v>491</v>
      </c>
      <c r="AK94" s="73">
        <v>112</v>
      </c>
      <c r="AL94" s="74">
        <v>120</v>
      </c>
      <c r="AM94" s="73">
        <v>106</v>
      </c>
      <c r="AN94" s="73">
        <v>108</v>
      </c>
      <c r="AO94" s="41">
        <v>447</v>
      </c>
      <c r="AP94" s="73">
        <v>107</v>
      </c>
      <c r="AQ94" s="74">
        <v>84</v>
      </c>
      <c r="AR94" s="73">
        <v>93</v>
      </c>
      <c r="AS94" s="73">
        <v>101</v>
      </c>
      <c r="AT94" s="41">
        <v>385</v>
      </c>
      <c r="AU94" s="449">
        <v>104</v>
      </c>
      <c r="AV94" s="73">
        <v>111</v>
      </c>
      <c r="AW94" s="73">
        <v>120</v>
      </c>
      <c r="AX94" s="73">
        <v>127</v>
      </c>
      <c r="AY94" s="73">
        <v>462</v>
      </c>
      <c r="BH94" s="519"/>
      <c r="BI94" s="519"/>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c r="GU94" s="34"/>
      <c r="GV94" s="34"/>
      <c r="GW94" s="34"/>
      <c r="GX94" s="34"/>
      <c r="GY94" s="34"/>
      <c r="GZ94" s="34"/>
      <c r="HA94" s="34"/>
      <c r="HB94" s="34"/>
      <c r="HC94" s="34"/>
      <c r="HD94" s="34"/>
      <c r="HE94" s="34"/>
      <c r="HF94" s="34"/>
      <c r="HG94" s="34"/>
      <c r="HH94" s="34"/>
      <c r="HI94" s="34"/>
      <c r="HJ94" s="34"/>
      <c r="HK94" s="34"/>
      <c r="HL94" s="34"/>
      <c r="HM94" s="34"/>
      <c r="HN94" s="34"/>
      <c r="HO94" s="34"/>
      <c r="HP94" s="34"/>
      <c r="HQ94" s="34"/>
      <c r="HR94" s="34"/>
      <c r="HS94" s="34"/>
      <c r="HT94" s="34"/>
      <c r="HU94" s="34"/>
      <c r="HV94" s="34"/>
      <c r="HW94" s="34"/>
      <c r="HX94" s="34"/>
      <c r="HY94" s="34"/>
      <c r="HZ94" s="34"/>
      <c r="IA94" s="34"/>
      <c r="IB94" s="34"/>
      <c r="IC94" s="34"/>
      <c r="ID94" s="34"/>
      <c r="IE94" s="34"/>
      <c r="IF94" s="34"/>
      <c r="IG94" s="34"/>
      <c r="IH94" s="34"/>
      <c r="II94" s="34"/>
      <c r="IJ94" s="34"/>
      <c r="IK94" s="34"/>
      <c r="IL94" s="34"/>
      <c r="IM94" s="34"/>
      <c r="IN94" s="34"/>
      <c r="IO94" s="34"/>
      <c r="IP94" s="34"/>
      <c r="IQ94" s="34"/>
      <c r="IR94" s="34"/>
      <c r="IS94" s="34"/>
      <c r="IT94" s="34"/>
      <c r="IU94" s="34"/>
      <c r="IV94" s="34"/>
    </row>
    <row r="95" spans="1:256" s="318" customFormat="1" ht="12.75">
      <c r="A95" s="76" t="s">
        <v>56</v>
      </c>
      <c r="B95" s="73">
        <v>107</v>
      </c>
      <c r="C95" s="74">
        <v>105</v>
      </c>
      <c r="D95" s="73">
        <v>86.5</v>
      </c>
      <c r="E95" s="73">
        <v>98.80813200000001</v>
      </c>
      <c r="F95" s="41">
        <v>397.05046799999997</v>
      </c>
      <c r="G95" s="73">
        <v>2.6895799999999994</v>
      </c>
      <c r="H95" s="74">
        <v>3.1481000000000003</v>
      </c>
      <c r="I95" s="73">
        <v>1.60594</v>
      </c>
      <c r="J95" s="73">
        <v>2.82038</v>
      </c>
      <c r="K95" s="41">
        <v>10.264</v>
      </c>
      <c r="L95" s="73">
        <v>4</v>
      </c>
      <c r="M95" s="74">
        <v>19</v>
      </c>
      <c r="N95" s="73">
        <v>28</v>
      </c>
      <c r="O95" s="73">
        <v>27.769538122</v>
      </c>
      <c r="P95" s="41">
        <v>78.769538122</v>
      </c>
      <c r="Q95" s="73">
        <v>17.290725000000002</v>
      </c>
      <c r="R95" s="74">
        <v>18.072597000000002</v>
      </c>
      <c r="S95" s="73">
        <v>20.264662</v>
      </c>
      <c r="T95" s="73">
        <v>21.33901573</v>
      </c>
      <c r="U95" s="41">
        <v>76.96699973</v>
      </c>
      <c r="V95" s="73">
        <v>14.256336</v>
      </c>
      <c r="W95" s="74">
        <v>18.463948000000006</v>
      </c>
      <c r="X95" s="73">
        <v>21.397676999999998</v>
      </c>
      <c r="Y95" s="73">
        <v>14.402962000000002</v>
      </c>
      <c r="Z95" s="41">
        <v>68.52092300000001</v>
      </c>
      <c r="AA95" s="73">
        <v>17.753266</v>
      </c>
      <c r="AB95" s="74">
        <v>16.472636</v>
      </c>
      <c r="AC95" s="73">
        <v>17.907488</v>
      </c>
      <c r="AD95" s="73">
        <v>20</v>
      </c>
      <c r="AE95" s="41">
        <v>72</v>
      </c>
      <c r="AF95" s="73">
        <v>21</v>
      </c>
      <c r="AG95" s="74">
        <v>21</v>
      </c>
      <c r="AH95" s="73">
        <v>20</v>
      </c>
      <c r="AI95" s="73">
        <v>21</v>
      </c>
      <c r="AJ95" s="41">
        <v>84</v>
      </c>
      <c r="AK95" s="73">
        <v>21</v>
      </c>
      <c r="AL95" s="74">
        <v>21</v>
      </c>
      <c r="AM95" s="73">
        <v>18</v>
      </c>
      <c r="AN95" s="73">
        <v>19</v>
      </c>
      <c r="AO95" s="41">
        <v>78</v>
      </c>
      <c r="AP95" s="73">
        <v>21</v>
      </c>
      <c r="AQ95" s="74">
        <v>17</v>
      </c>
      <c r="AR95" s="73">
        <v>23</v>
      </c>
      <c r="AS95" s="73">
        <v>19</v>
      </c>
      <c r="AT95" s="41">
        <v>80</v>
      </c>
      <c r="AU95" s="449">
        <v>21</v>
      </c>
      <c r="AV95" s="73">
        <v>19</v>
      </c>
      <c r="AW95" s="73">
        <v>20</v>
      </c>
      <c r="AX95" s="73">
        <v>22</v>
      </c>
      <c r="AY95" s="73">
        <v>82</v>
      </c>
      <c r="BH95" s="519"/>
      <c r="BI95" s="519"/>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c r="DI95" s="34"/>
      <c r="DJ95" s="34"/>
      <c r="DK95" s="34"/>
      <c r="DL95" s="34"/>
      <c r="DM95" s="34"/>
      <c r="DN95" s="34"/>
      <c r="DO95" s="34"/>
      <c r="DP95" s="34"/>
      <c r="DQ95" s="34"/>
      <c r="DR95" s="34"/>
      <c r="DS95" s="34"/>
      <c r="DT95" s="34"/>
      <c r="DU95" s="34"/>
      <c r="DV95" s="34"/>
      <c r="DW95" s="34"/>
      <c r="DX95" s="34"/>
      <c r="DY95" s="34"/>
      <c r="DZ95" s="34"/>
      <c r="EA95" s="34"/>
      <c r="EB95" s="34"/>
      <c r="EC95" s="34"/>
      <c r="ED95" s="34"/>
      <c r="EE95" s="34"/>
      <c r="EF95" s="34"/>
      <c r="EG95" s="34"/>
      <c r="EH95" s="34"/>
      <c r="EI95" s="34"/>
      <c r="EJ95" s="34"/>
      <c r="EK95" s="34"/>
      <c r="EL95" s="34"/>
      <c r="EM95" s="34"/>
      <c r="EN95" s="34"/>
      <c r="EO95" s="34"/>
      <c r="EP95" s="34"/>
      <c r="EQ95" s="34"/>
      <c r="ER95" s="34"/>
      <c r="ES95" s="34"/>
      <c r="ET95" s="34"/>
      <c r="EU95" s="34"/>
      <c r="EV95" s="34"/>
      <c r="EW95" s="34"/>
      <c r="EX95" s="34"/>
      <c r="EY95" s="34"/>
      <c r="EZ95" s="34"/>
      <c r="FA95" s="34"/>
      <c r="FB95" s="34"/>
      <c r="FC95" s="34"/>
      <c r="FD95" s="34"/>
      <c r="FE95" s="34"/>
      <c r="FF95" s="34"/>
      <c r="FG95" s="34"/>
      <c r="FH95" s="34"/>
      <c r="FI95" s="34"/>
      <c r="FJ95" s="34"/>
      <c r="FK95" s="34"/>
      <c r="FL95" s="34"/>
      <c r="FM95" s="34"/>
      <c r="FN95" s="34"/>
      <c r="FO95" s="34"/>
      <c r="FP95" s="34"/>
      <c r="FQ95" s="34"/>
      <c r="FR95" s="34"/>
      <c r="FS95" s="34"/>
      <c r="FT95" s="34"/>
      <c r="FU95" s="34"/>
      <c r="FV95" s="34"/>
      <c r="FW95" s="34"/>
      <c r="FX95" s="34"/>
      <c r="FY95" s="34"/>
      <c r="FZ95" s="34"/>
      <c r="GA95" s="34"/>
      <c r="GB95" s="34"/>
      <c r="GC95" s="34"/>
      <c r="GD95" s="34"/>
      <c r="GE95" s="34"/>
      <c r="GF95" s="34"/>
      <c r="GG95" s="34"/>
      <c r="GH95" s="34"/>
      <c r="GI95" s="34"/>
      <c r="GJ95" s="34"/>
      <c r="GK95" s="34"/>
      <c r="GL95" s="34"/>
      <c r="GM95" s="34"/>
      <c r="GN95" s="34"/>
      <c r="GO95" s="34"/>
      <c r="GP95" s="34"/>
      <c r="GQ95" s="34"/>
      <c r="GR95" s="34"/>
      <c r="GS95" s="34"/>
      <c r="GT95" s="34"/>
      <c r="GU95" s="34"/>
      <c r="GV95" s="34"/>
      <c r="GW95" s="34"/>
      <c r="GX95" s="34"/>
      <c r="GY95" s="34"/>
      <c r="GZ95" s="34"/>
      <c r="HA95" s="34"/>
      <c r="HB95" s="34"/>
      <c r="HC95" s="34"/>
      <c r="HD95" s="34"/>
      <c r="HE95" s="34"/>
      <c r="HF95" s="34"/>
      <c r="HG95" s="34"/>
      <c r="HH95" s="34"/>
      <c r="HI95" s="34"/>
      <c r="HJ95" s="34"/>
      <c r="HK95" s="34"/>
      <c r="HL95" s="34"/>
      <c r="HM95" s="34"/>
      <c r="HN95" s="34"/>
      <c r="HO95" s="34"/>
      <c r="HP95" s="34"/>
      <c r="HQ95" s="34"/>
      <c r="HR95" s="34"/>
      <c r="HS95" s="34"/>
      <c r="HT95" s="34"/>
      <c r="HU95" s="34"/>
      <c r="HV95" s="34"/>
      <c r="HW95" s="34"/>
      <c r="HX95" s="34"/>
      <c r="HY95" s="34"/>
      <c r="HZ95" s="34"/>
      <c r="IA95" s="34"/>
      <c r="IB95" s="34"/>
      <c r="IC95" s="34"/>
      <c r="ID95" s="34"/>
      <c r="IE95" s="34"/>
      <c r="IF95" s="34"/>
      <c r="IG95" s="34"/>
      <c r="IH95" s="34"/>
      <c r="II95" s="34"/>
      <c r="IJ95" s="34"/>
      <c r="IK95" s="34"/>
      <c r="IL95" s="34"/>
      <c r="IM95" s="34"/>
      <c r="IN95" s="34"/>
      <c r="IO95" s="34"/>
      <c r="IP95" s="34"/>
      <c r="IQ95" s="34"/>
      <c r="IR95" s="34"/>
      <c r="IS95" s="34"/>
      <c r="IT95" s="34"/>
      <c r="IU95" s="34"/>
      <c r="IV95" s="34"/>
    </row>
    <row r="96" spans="1:256" s="318" customFormat="1" ht="12.75" customHeight="1">
      <c r="A96" s="76" t="s">
        <v>57</v>
      </c>
      <c r="B96" s="73"/>
      <c r="C96" s="74"/>
      <c r="D96" s="73"/>
      <c r="E96" s="73"/>
      <c r="F96" s="41"/>
      <c r="G96" s="73">
        <v>99.36836400000007</v>
      </c>
      <c r="H96" s="74">
        <v>91.25189999999999</v>
      </c>
      <c r="I96" s="73">
        <v>105.47543400000004</v>
      </c>
      <c r="J96" s="73">
        <v>114.481409</v>
      </c>
      <c r="K96" s="41">
        <v>410.57710700000007</v>
      </c>
      <c r="L96" s="73">
        <v>109.60239999999999</v>
      </c>
      <c r="M96" s="74">
        <v>166.32805558999996</v>
      </c>
      <c r="N96" s="73">
        <v>181.37803532000004</v>
      </c>
      <c r="O96" s="73">
        <v>163.29528218400003</v>
      </c>
      <c r="P96" s="41">
        <v>620.6037730940001</v>
      </c>
      <c r="Q96" s="73">
        <v>137.89991099999997</v>
      </c>
      <c r="R96" s="74">
        <v>147.32116299999998</v>
      </c>
      <c r="S96" s="73">
        <v>127.99920199999998</v>
      </c>
      <c r="T96" s="73">
        <v>137.36230500000002</v>
      </c>
      <c r="U96" s="41">
        <v>550.5825810000001</v>
      </c>
      <c r="V96" s="73">
        <v>157.958741</v>
      </c>
      <c r="W96" s="74">
        <v>195.13631599999997</v>
      </c>
      <c r="X96" s="73">
        <v>184.01494499999998</v>
      </c>
      <c r="Y96" s="73">
        <v>221.01355800000007</v>
      </c>
      <c r="Z96" s="41">
        <v>758.12356</v>
      </c>
      <c r="AA96" s="73">
        <v>217.04972100000003</v>
      </c>
      <c r="AB96" s="74">
        <v>195.05853000000005</v>
      </c>
      <c r="AC96" s="73">
        <v>193.885408</v>
      </c>
      <c r="AD96" s="73">
        <v>212</v>
      </c>
      <c r="AE96" s="41">
        <v>819</v>
      </c>
      <c r="AF96" s="73">
        <v>212</v>
      </c>
      <c r="AG96" s="74">
        <v>230</v>
      </c>
      <c r="AH96" s="73">
        <v>220</v>
      </c>
      <c r="AI96" s="73">
        <v>251</v>
      </c>
      <c r="AJ96" s="41">
        <v>912</v>
      </c>
      <c r="AK96" s="73">
        <v>237</v>
      </c>
      <c r="AL96" s="74">
        <v>197</v>
      </c>
      <c r="AM96" s="73">
        <v>179</v>
      </c>
      <c r="AN96" s="73">
        <v>220</v>
      </c>
      <c r="AO96" s="41">
        <v>833</v>
      </c>
      <c r="AP96" s="73">
        <v>206</v>
      </c>
      <c r="AQ96" s="74">
        <v>197</v>
      </c>
      <c r="AR96" s="73">
        <v>229</v>
      </c>
      <c r="AS96" s="73">
        <v>249</v>
      </c>
      <c r="AT96" s="41">
        <v>881</v>
      </c>
      <c r="AU96" s="449">
        <v>226</v>
      </c>
      <c r="AV96" s="73">
        <v>185</v>
      </c>
      <c r="AW96" s="73">
        <v>238</v>
      </c>
      <c r="AX96" s="73">
        <v>222</v>
      </c>
      <c r="AY96" s="73">
        <v>871</v>
      </c>
      <c r="BH96" s="519"/>
      <c r="BI96" s="519"/>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4"/>
      <c r="DL96" s="34"/>
      <c r="DM96" s="34"/>
      <c r="DN96" s="34"/>
      <c r="DO96" s="34"/>
      <c r="DP96" s="34"/>
      <c r="DQ96" s="34"/>
      <c r="DR96" s="34"/>
      <c r="DS96" s="34"/>
      <c r="DT96" s="34"/>
      <c r="DU96" s="34"/>
      <c r="DV96" s="34"/>
      <c r="DW96" s="34"/>
      <c r="DX96" s="34"/>
      <c r="DY96" s="34"/>
      <c r="DZ96" s="34"/>
      <c r="EA96" s="34"/>
      <c r="EB96" s="34"/>
      <c r="EC96" s="34"/>
      <c r="ED96" s="34"/>
      <c r="EE96" s="34"/>
      <c r="EF96" s="34"/>
      <c r="EG96" s="34"/>
      <c r="EH96" s="34"/>
      <c r="EI96" s="34"/>
      <c r="EJ96" s="34"/>
      <c r="EK96" s="34"/>
      <c r="EL96" s="34"/>
      <c r="EM96" s="34"/>
      <c r="EN96" s="34"/>
      <c r="EO96" s="34"/>
      <c r="EP96" s="34"/>
      <c r="EQ96" s="34"/>
      <c r="ER96" s="34"/>
      <c r="ES96" s="34"/>
      <c r="ET96" s="34"/>
      <c r="EU96" s="34"/>
      <c r="EV96" s="34"/>
      <c r="EW96" s="34"/>
      <c r="EX96" s="34"/>
      <c r="EY96" s="34"/>
      <c r="EZ96" s="34"/>
      <c r="FA96" s="34"/>
      <c r="FB96" s="34"/>
      <c r="FC96" s="34"/>
      <c r="FD96" s="34"/>
      <c r="FE96" s="34"/>
      <c r="FF96" s="34"/>
      <c r="FG96" s="34"/>
      <c r="FH96" s="34"/>
      <c r="FI96" s="34"/>
      <c r="FJ96" s="34"/>
      <c r="FK96" s="34"/>
      <c r="FL96" s="34"/>
      <c r="FM96" s="34"/>
      <c r="FN96" s="34"/>
      <c r="FO96" s="34"/>
      <c r="FP96" s="34"/>
      <c r="FQ96" s="34"/>
      <c r="FR96" s="34"/>
      <c r="FS96" s="34"/>
      <c r="FT96" s="34"/>
      <c r="FU96" s="34"/>
      <c r="FV96" s="34"/>
      <c r="FW96" s="34"/>
      <c r="FX96" s="34"/>
      <c r="FY96" s="34"/>
      <c r="FZ96" s="34"/>
      <c r="GA96" s="34"/>
      <c r="GB96" s="34"/>
      <c r="GC96" s="34"/>
      <c r="GD96" s="34"/>
      <c r="GE96" s="34"/>
      <c r="GF96" s="34"/>
      <c r="GG96" s="34"/>
      <c r="GH96" s="34"/>
      <c r="GI96" s="34"/>
      <c r="GJ96" s="34"/>
      <c r="GK96" s="34"/>
      <c r="GL96" s="34"/>
      <c r="GM96" s="34"/>
      <c r="GN96" s="34"/>
      <c r="GO96" s="34"/>
      <c r="GP96" s="34"/>
      <c r="GQ96" s="34"/>
      <c r="GR96" s="34"/>
      <c r="GS96" s="34"/>
      <c r="GT96" s="34"/>
      <c r="GU96" s="34"/>
      <c r="GV96" s="34"/>
      <c r="GW96" s="34"/>
      <c r="GX96" s="34"/>
      <c r="GY96" s="34"/>
      <c r="GZ96" s="34"/>
      <c r="HA96" s="34"/>
      <c r="HB96" s="34"/>
      <c r="HC96" s="34"/>
      <c r="HD96" s="34"/>
      <c r="HE96" s="34"/>
      <c r="HF96" s="34"/>
      <c r="HG96" s="34"/>
      <c r="HH96" s="34"/>
      <c r="HI96" s="34"/>
      <c r="HJ96" s="34"/>
      <c r="HK96" s="34"/>
      <c r="HL96" s="34"/>
      <c r="HM96" s="34"/>
      <c r="HN96" s="34"/>
      <c r="HO96" s="34"/>
      <c r="HP96" s="34"/>
      <c r="HQ96" s="34"/>
      <c r="HR96" s="34"/>
      <c r="HS96" s="34"/>
      <c r="HT96" s="34"/>
      <c r="HU96" s="34"/>
      <c r="HV96" s="34"/>
      <c r="HW96" s="34"/>
      <c r="HX96" s="34"/>
      <c r="HY96" s="34"/>
      <c r="HZ96" s="34"/>
      <c r="IA96" s="34"/>
      <c r="IB96" s="34"/>
      <c r="IC96" s="34"/>
      <c r="ID96" s="34"/>
      <c r="IE96" s="34"/>
      <c r="IF96" s="34"/>
      <c r="IG96" s="34"/>
      <c r="IH96" s="34"/>
      <c r="II96" s="34"/>
      <c r="IJ96" s="34"/>
      <c r="IK96" s="34"/>
      <c r="IL96" s="34"/>
      <c r="IM96" s="34"/>
      <c r="IN96" s="34"/>
      <c r="IO96" s="34"/>
      <c r="IP96" s="34"/>
      <c r="IQ96" s="34"/>
      <c r="IR96" s="34"/>
      <c r="IS96" s="34"/>
      <c r="IT96" s="34"/>
      <c r="IU96" s="34"/>
      <c r="IV96" s="34"/>
    </row>
    <row r="97" spans="1:256" s="318" customFormat="1" ht="12.75" customHeight="1">
      <c r="A97" s="76" t="s">
        <v>70</v>
      </c>
      <c r="B97" s="73">
        <v>203</v>
      </c>
      <c r="C97" s="74">
        <v>199</v>
      </c>
      <c r="D97" s="73">
        <v>181.5</v>
      </c>
      <c r="E97" s="73">
        <v>194.41072300000002</v>
      </c>
      <c r="F97" s="41">
        <v>777.653059</v>
      </c>
      <c r="G97" s="73">
        <v>202.4541940000001</v>
      </c>
      <c r="H97" s="74">
        <v>197.1</v>
      </c>
      <c r="I97" s="73">
        <v>196.29780400000004</v>
      </c>
      <c r="J97" s="73">
        <v>222.23946</v>
      </c>
      <c r="K97" s="41">
        <v>818.0914580000001</v>
      </c>
      <c r="L97" s="73">
        <v>206.6024</v>
      </c>
      <c r="M97" s="74">
        <v>275.32805558999996</v>
      </c>
      <c r="N97" s="73">
        <v>306.37803532000004</v>
      </c>
      <c r="O97" s="73">
        <v>304.407499594</v>
      </c>
      <c r="P97" s="41">
        <v>1092.715990504</v>
      </c>
      <c r="Q97" s="73">
        <v>260.72706</v>
      </c>
      <c r="R97" s="74">
        <v>281.976427</v>
      </c>
      <c r="S97" s="73">
        <v>245.160236</v>
      </c>
      <c r="T97" s="73">
        <v>269.39097573000004</v>
      </c>
      <c r="U97" s="41">
        <v>1057.2546987300002</v>
      </c>
      <c r="V97" s="73">
        <v>277.634132</v>
      </c>
      <c r="W97" s="74">
        <v>329.259686</v>
      </c>
      <c r="X97" s="73">
        <v>333.47616899999997</v>
      </c>
      <c r="Y97" s="73">
        <v>354.10806099999996</v>
      </c>
      <c r="Z97" s="41">
        <v>1294.478048</v>
      </c>
      <c r="AA97" s="73">
        <v>355.039327</v>
      </c>
      <c r="AB97" s="74">
        <v>333.951809</v>
      </c>
      <c r="AC97" s="73">
        <v>318.664277</v>
      </c>
      <c r="AD97" s="73">
        <v>362</v>
      </c>
      <c r="AE97" s="41">
        <v>1370</v>
      </c>
      <c r="AF97" s="73">
        <f>+AF95+AF94+AF96</f>
        <v>352</v>
      </c>
      <c r="AG97" s="74">
        <f>+AG95+AG94+AG96</f>
        <v>379</v>
      </c>
      <c r="AH97" s="73">
        <f>+AH94+AH95+AH96</f>
        <v>360</v>
      </c>
      <c r="AI97" s="73">
        <f>+AI94+AI95+AI96</f>
        <v>396</v>
      </c>
      <c r="AJ97" s="41">
        <f>+AF97+AG97+AH97+AI97</f>
        <v>1487</v>
      </c>
      <c r="AK97" s="73">
        <f>+AK95+AK94+AK96</f>
        <v>370</v>
      </c>
      <c r="AL97" s="74">
        <v>338</v>
      </c>
      <c r="AM97" s="73">
        <v>303</v>
      </c>
      <c r="AN97" s="73">
        <v>347</v>
      </c>
      <c r="AO97" s="41">
        <v>1358</v>
      </c>
      <c r="AP97" s="73">
        <v>334</v>
      </c>
      <c r="AQ97" s="74">
        <v>298</v>
      </c>
      <c r="AR97" s="73">
        <f>+AR96+AR95+AR94</f>
        <v>345</v>
      </c>
      <c r="AS97" s="73">
        <v>369</v>
      </c>
      <c r="AT97" s="41">
        <v>1346</v>
      </c>
      <c r="AU97" s="449">
        <f>+AU94+AU95+AU96</f>
        <v>351</v>
      </c>
      <c r="AV97" s="73">
        <f>+AV94+AV95+AV96</f>
        <v>315</v>
      </c>
      <c r="AW97" s="73">
        <v>378</v>
      </c>
      <c r="AX97" s="73">
        <f>+AX94+AX95+AX96</f>
        <v>371</v>
      </c>
      <c r="AY97" s="73">
        <v>1415</v>
      </c>
      <c r="AZ97" s="424"/>
      <c r="BA97" s="424"/>
      <c r="BB97" s="424"/>
      <c r="BC97" s="424"/>
      <c r="BE97" s="424"/>
      <c r="BF97" s="424"/>
      <c r="BG97" s="424"/>
      <c r="BH97" s="523"/>
      <c r="BI97" s="523"/>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c r="DI97" s="34"/>
      <c r="DJ97" s="34"/>
      <c r="DK97" s="34"/>
      <c r="DL97" s="34"/>
      <c r="DM97" s="34"/>
      <c r="DN97" s="34"/>
      <c r="DO97" s="34"/>
      <c r="DP97" s="34"/>
      <c r="DQ97" s="34"/>
      <c r="DR97" s="34"/>
      <c r="DS97" s="34"/>
      <c r="DT97" s="34"/>
      <c r="DU97" s="34"/>
      <c r="DV97" s="34"/>
      <c r="DW97" s="34"/>
      <c r="DX97" s="34"/>
      <c r="DY97" s="34"/>
      <c r="DZ97" s="34"/>
      <c r="EA97" s="34"/>
      <c r="EB97" s="34"/>
      <c r="EC97" s="34"/>
      <c r="ED97" s="34"/>
      <c r="EE97" s="34"/>
      <c r="EF97" s="34"/>
      <c r="EG97" s="34"/>
      <c r="EH97" s="34"/>
      <c r="EI97" s="34"/>
      <c r="EJ97" s="34"/>
      <c r="EK97" s="34"/>
      <c r="EL97" s="34"/>
      <c r="EM97" s="34"/>
      <c r="EN97" s="34"/>
      <c r="EO97" s="34"/>
      <c r="EP97" s="34"/>
      <c r="EQ97" s="34"/>
      <c r="ER97" s="34"/>
      <c r="ES97" s="34"/>
      <c r="ET97" s="34"/>
      <c r="EU97" s="34"/>
      <c r="EV97" s="34"/>
      <c r="EW97" s="34"/>
      <c r="EX97" s="34"/>
      <c r="EY97" s="34"/>
      <c r="EZ97" s="34"/>
      <c r="FA97" s="34"/>
      <c r="FB97" s="34"/>
      <c r="FC97" s="34"/>
      <c r="FD97" s="34"/>
      <c r="FE97" s="34"/>
      <c r="FF97" s="34"/>
      <c r="FG97" s="34"/>
      <c r="FH97" s="34"/>
      <c r="FI97" s="34"/>
      <c r="FJ97" s="34"/>
      <c r="FK97" s="34"/>
      <c r="FL97" s="34"/>
      <c r="FM97" s="34"/>
      <c r="FN97" s="34"/>
      <c r="FO97" s="34"/>
      <c r="FP97" s="34"/>
      <c r="FQ97" s="34"/>
      <c r="FR97" s="34"/>
      <c r="FS97" s="34"/>
      <c r="FT97" s="34"/>
      <c r="FU97" s="34"/>
      <c r="FV97" s="34"/>
      <c r="FW97" s="34"/>
      <c r="FX97" s="34"/>
      <c r="FY97" s="34"/>
      <c r="FZ97" s="34"/>
      <c r="GA97" s="34"/>
      <c r="GB97" s="34"/>
      <c r="GC97" s="34"/>
      <c r="GD97" s="34"/>
      <c r="GE97" s="34"/>
      <c r="GF97" s="34"/>
      <c r="GG97" s="34"/>
      <c r="GH97" s="34"/>
      <c r="GI97" s="34"/>
      <c r="GJ97" s="34"/>
      <c r="GK97" s="34"/>
      <c r="GL97" s="34"/>
      <c r="GM97" s="34"/>
      <c r="GN97" s="34"/>
      <c r="GO97" s="34"/>
      <c r="GP97" s="34"/>
      <c r="GQ97" s="34"/>
      <c r="GR97" s="34"/>
      <c r="GS97" s="34"/>
      <c r="GT97" s="34"/>
      <c r="GU97" s="34"/>
      <c r="GV97" s="34"/>
      <c r="GW97" s="34"/>
      <c r="GX97" s="34"/>
      <c r="GY97" s="34"/>
      <c r="GZ97" s="34"/>
      <c r="HA97" s="34"/>
      <c r="HB97" s="34"/>
      <c r="HC97" s="34"/>
      <c r="HD97" s="34"/>
      <c r="HE97" s="34"/>
      <c r="HF97" s="34"/>
      <c r="HG97" s="34"/>
      <c r="HH97" s="34"/>
      <c r="HI97" s="34"/>
      <c r="HJ97" s="34"/>
      <c r="HK97" s="34"/>
      <c r="HL97" s="34"/>
      <c r="HM97" s="34"/>
      <c r="HN97" s="34"/>
      <c r="HO97" s="34"/>
      <c r="HP97" s="34"/>
      <c r="HQ97" s="34"/>
      <c r="HR97" s="34"/>
      <c r="HS97" s="34"/>
      <c r="HT97" s="34"/>
      <c r="HU97" s="34"/>
      <c r="HV97" s="34"/>
      <c r="HW97" s="34"/>
      <c r="HX97" s="34"/>
      <c r="HY97" s="34"/>
      <c r="HZ97" s="34"/>
      <c r="IA97" s="34"/>
      <c r="IB97" s="34"/>
      <c r="IC97" s="34"/>
      <c r="ID97" s="34"/>
      <c r="IE97" s="34"/>
      <c r="IF97" s="34"/>
      <c r="IG97" s="34"/>
      <c r="IH97" s="34"/>
      <c r="II97" s="34"/>
      <c r="IJ97" s="34"/>
      <c r="IK97" s="34"/>
      <c r="IL97" s="34"/>
      <c r="IM97" s="34"/>
      <c r="IN97" s="34"/>
      <c r="IO97" s="34"/>
      <c r="IP97" s="34"/>
      <c r="IQ97" s="34"/>
      <c r="IR97" s="34"/>
      <c r="IS97" s="34"/>
      <c r="IT97" s="34"/>
      <c r="IU97" s="34"/>
      <c r="IV97" s="34"/>
    </row>
    <row r="98" ht="12.75"/>
    <row r="99" ht="12.75"/>
    <row r="100" ht="12.75">
      <c r="A100" s="24" t="s">
        <v>362</v>
      </c>
    </row>
    <row r="101" spans="1:61" ht="12.75">
      <c r="A101" s="175" t="s">
        <v>368</v>
      </c>
      <c r="B101" s="7" t="s">
        <v>2</v>
      </c>
      <c r="C101" s="7" t="s">
        <v>3</v>
      </c>
      <c r="D101" s="7" t="s">
        <v>4</v>
      </c>
      <c r="E101" s="7" t="s">
        <v>5</v>
      </c>
      <c r="F101" s="7" t="s">
        <v>6</v>
      </c>
      <c r="G101" s="7" t="s">
        <v>12</v>
      </c>
      <c r="H101" s="7" t="s">
        <v>13</v>
      </c>
      <c r="I101" s="7" t="s">
        <v>14</v>
      </c>
      <c r="J101" s="7" t="s">
        <v>15</v>
      </c>
      <c r="K101" s="7" t="s">
        <v>16</v>
      </c>
      <c r="L101" s="7" t="s">
        <v>17</v>
      </c>
      <c r="M101" s="7" t="s">
        <v>18</v>
      </c>
      <c r="N101" s="7" t="s">
        <v>19</v>
      </c>
      <c r="O101" s="7" t="s">
        <v>20</v>
      </c>
      <c r="P101" s="7" t="s">
        <v>21</v>
      </c>
      <c r="Q101" s="7" t="s">
        <v>22</v>
      </c>
      <c r="R101" s="7" t="s">
        <v>23</v>
      </c>
      <c r="S101" s="7" t="s">
        <v>24</v>
      </c>
      <c r="T101" s="7" t="s">
        <v>25</v>
      </c>
      <c r="U101" s="7" t="s">
        <v>26</v>
      </c>
      <c r="V101" s="175" t="s">
        <v>27</v>
      </c>
      <c r="W101" s="175" t="s">
        <v>28</v>
      </c>
      <c r="X101" s="175" t="s">
        <v>29</v>
      </c>
      <c r="Y101" s="175" t="s">
        <v>30</v>
      </c>
      <c r="Z101" s="175" t="s">
        <v>31</v>
      </c>
      <c r="AA101" s="175" t="s">
        <v>32</v>
      </c>
      <c r="AB101" s="175" t="s">
        <v>33</v>
      </c>
      <c r="AC101" s="175" t="s">
        <v>34</v>
      </c>
      <c r="AD101" s="175" t="s">
        <v>271</v>
      </c>
      <c r="AE101" s="175" t="s">
        <v>272</v>
      </c>
      <c r="AF101" s="175" t="s">
        <v>274</v>
      </c>
      <c r="AG101" s="175" t="s">
        <v>276</v>
      </c>
      <c r="AH101" s="175" t="s">
        <v>278</v>
      </c>
      <c r="AI101" s="175" t="s">
        <v>280</v>
      </c>
      <c r="AJ101" s="175" t="s">
        <v>281</v>
      </c>
      <c r="AK101" s="175" t="s">
        <v>289</v>
      </c>
      <c r="AL101" s="175" t="s">
        <v>290</v>
      </c>
      <c r="AM101" s="175" t="s">
        <v>291</v>
      </c>
      <c r="AN101" s="175" t="s">
        <v>292</v>
      </c>
      <c r="AO101" s="175" t="s">
        <v>293</v>
      </c>
      <c r="AP101" s="175" t="s">
        <v>329</v>
      </c>
      <c r="AQ101" s="175" t="s">
        <v>330</v>
      </c>
      <c r="AR101" s="175" t="s">
        <v>331</v>
      </c>
      <c r="AS101" s="175" t="s">
        <v>332</v>
      </c>
      <c r="AT101" s="175" t="s">
        <v>333</v>
      </c>
      <c r="AU101" s="461" t="s">
        <v>448</v>
      </c>
      <c r="AV101" s="176" t="s">
        <v>451</v>
      </c>
      <c r="AW101" s="176" t="s">
        <v>453</v>
      </c>
      <c r="AX101" s="176" t="s">
        <v>454</v>
      </c>
      <c r="AY101" s="175" t="s">
        <v>457</v>
      </c>
      <c r="AZ101" s="326"/>
      <c r="BA101" s="326"/>
      <c r="BB101" s="326"/>
      <c r="BC101" s="326"/>
      <c r="BD101" s="326"/>
      <c r="BE101" s="326"/>
      <c r="BF101" s="326"/>
      <c r="BG101" s="326"/>
      <c r="BH101" s="527"/>
      <c r="BI101" s="527"/>
    </row>
    <row r="102" spans="1:61" ht="12.75" customHeight="1">
      <c r="A102" s="54"/>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8"/>
      <c r="AJ102" s="38"/>
      <c r="AK102" s="37"/>
      <c r="AL102" s="37"/>
      <c r="AM102" s="37"/>
      <c r="AN102" s="38"/>
      <c r="AO102" s="38"/>
      <c r="AP102" s="37"/>
      <c r="AQ102" s="37"/>
      <c r="AR102" s="37"/>
      <c r="AS102" s="38"/>
      <c r="AT102" s="38"/>
      <c r="AU102" s="345"/>
      <c r="AV102" s="37"/>
      <c r="AW102" s="37"/>
      <c r="AX102" s="37"/>
      <c r="AY102" s="38"/>
      <c r="AZ102" s="327"/>
      <c r="BA102" s="327"/>
      <c r="BB102" s="327"/>
      <c r="BC102" s="327"/>
      <c r="BD102" s="327"/>
      <c r="BE102" s="327"/>
      <c r="BF102" s="327"/>
      <c r="BG102" s="327"/>
      <c r="BH102" s="521"/>
      <c r="BI102" s="521"/>
    </row>
    <row r="103" spans="1:61" ht="12.75">
      <c r="A103" s="178" t="s">
        <v>44</v>
      </c>
      <c r="B103" s="68">
        <v>226</v>
      </c>
      <c r="C103" s="68">
        <v>264</v>
      </c>
      <c r="D103" s="68">
        <v>255</v>
      </c>
      <c r="E103" s="68">
        <v>257</v>
      </c>
      <c r="F103" s="55">
        <f>+B103+C103+D103+E103</f>
        <v>1002</v>
      </c>
      <c r="G103" s="68">
        <v>244</v>
      </c>
      <c r="H103" s="68">
        <v>270</v>
      </c>
      <c r="I103" s="68">
        <v>244</v>
      </c>
      <c r="J103" s="68">
        <v>244</v>
      </c>
      <c r="K103" s="55">
        <f>+G103+H103+I103+J103</f>
        <v>1002</v>
      </c>
      <c r="L103" s="68">
        <v>245</v>
      </c>
      <c r="M103" s="68">
        <v>289</v>
      </c>
      <c r="N103" s="68">
        <v>250</v>
      </c>
      <c r="O103" s="68">
        <v>309</v>
      </c>
      <c r="P103" s="55">
        <v>1093</v>
      </c>
      <c r="Q103" s="68">
        <v>236</v>
      </c>
      <c r="R103" s="68">
        <v>240</v>
      </c>
      <c r="S103" s="68">
        <v>269</v>
      </c>
      <c r="T103" s="68">
        <v>235</v>
      </c>
      <c r="U103" s="55">
        <v>980</v>
      </c>
      <c r="V103" s="68">
        <v>210</v>
      </c>
      <c r="W103" s="68">
        <v>232</v>
      </c>
      <c r="X103" s="68">
        <v>235</v>
      </c>
      <c r="Y103" s="68">
        <v>231</v>
      </c>
      <c r="Z103" s="203">
        <v>908</v>
      </c>
      <c r="AA103" s="68">
        <v>184</v>
      </c>
      <c r="AB103" s="68">
        <v>206</v>
      </c>
      <c r="AC103" s="68">
        <v>232</v>
      </c>
      <c r="AD103" s="68">
        <v>230</v>
      </c>
      <c r="AE103" s="203">
        <v>852</v>
      </c>
      <c r="AF103" s="68">
        <v>188</v>
      </c>
      <c r="AG103" s="68">
        <v>222</v>
      </c>
      <c r="AH103" s="68">
        <v>205</v>
      </c>
      <c r="AI103" s="68">
        <v>185</v>
      </c>
      <c r="AJ103" s="203">
        <f aca="true" t="shared" si="14" ref="AJ103:AJ108">+AF103+AG103+AH103+AI103</f>
        <v>800</v>
      </c>
      <c r="AK103" s="68">
        <v>169</v>
      </c>
      <c r="AL103" s="68">
        <v>214</v>
      </c>
      <c r="AM103" s="68">
        <v>172</v>
      </c>
      <c r="AN103" s="68">
        <v>216</v>
      </c>
      <c r="AO103" s="203">
        <v>771</v>
      </c>
      <c r="AP103" s="68">
        <v>179</v>
      </c>
      <c r="AQ103" s="68">
        <v>196</v>
      </c>
      <c r="AR103" s="68">
        <v>182</v>
      </c>
      <c r="AS103" s="68">
        <v>212</v>
      </c>
      <c r="AT103" s="203">
        <f aca="true" t="shared" si="15" ref="AT103:AT108">+AS103+AR103+AQ103+AP103</f>
        <v>769</v>
      </c>
      <c r="AU103" s="454">
        <v>174.5</v>
      </c>
      <c r="AV103" s="68">
        <v>176.5</v>
      </c>
      <c r="AW103" s="68">
        <v>172</v>
      </c>
      <c r="AX103" s="68">
        <v>164</v>
      </c>
      <c r="AY103" s="203">
        <v>687</v>
      </c>
      <c r="AZ103" s="337"/>
      <c r="BA103" s="337"/>
      <c r="BB103" s="337"/>
      <c r="BC103" s="337"/>
      <c r="BD103" s="337"/>
      <c r="BE103" s="337"/>
      <c r="BF103" s="337"/>
      <c r="BG103" s="337"/>
      <c r="BH103" s="528"/>
      <c r="BI103" s="528"/>
    </row>
    <row r="104" spans="1:61" ht="12.75">
      <c r="A104" s="178" t="s">
        <v>45</v>
      </c>
      <c r="B104" s="68">
        <v>1510</v>
      </c>
      <c r="C104" s="68">
        <v>1463</v>
      </c>
      <c r="D104" s="68">
        <v>1423</v>
      </c>
      <c r="E104" s="68">
        <v>1444</v>
      </c>
      <c r="F104" s="55">
        <f>+B104+C104+D104+E104</f>
        <v>5840</v>
      </c>
      <c r="G104" s="68">
        <v>1276</v>
      </c>
      <c r="H104" s="68">
        <v>1143</v>
      </c>
      <c r="I104" s="68">
        <v>1436</v>
      </c>
      <c r="J104" s="68">
        <v>1134</v>
      </c>
      <c r="K104" s="55">
        <f>+G104+H104+I104+J104</f>
        <v>4989</v>
      </c>
      <c r="L104" s="68">
        <v>1256</v>
      </c>
      <c r="M104" s="68">
        <v>2542</v>
      </c>
      <c r="N104" s="68">
        <v>2976</v>
      </c>
      <c r="O104" s="68">
        <v>2621</v>
      </c>
      <c r="P104" s="55">
        <v>9395</v>
      </c>
      <c r="Q104" s="68">
        <v>2764</v>
      </c>
      <c r="R104" s="68">
        <v>2760</v>
      </c>
      <c r="S104" s="68">
        <v>2738</v>
      </c>
      <c r="T104" s="68">
        <v>2792</v>
      </c>
      <c r="U104" s="55">
        <v>11054</v>
      </c>
      <c r="V104" s="68">
        <v>2973</v>
      </c>
      <c r="W104" s="68">
        <v>2608</v>
      </c>
      <c r="X104" s="68">
        <v>3016</v>
      </c>
      <c r="Y104" s="68">
        <v>2906</v>
      </c>
      <c r="Z104" s="203">
        <v>11503</v>
      </c>
      <c r="AA104" s="68">
        <v>3071</v>
      </c>
      <c r="AB104" s="68">
        <v>2761</v>
      </c>
      <c r="AC104" s="68">
        <v>3082</v>
      </c>
      <c r="AD104" s="68">
        <v>2758</v>
      </c>
      <c r="AE104" s="203">
        <v>11673</v>
      </c>
      <c r="AF104" s="68">
        <v>2912</v>
      </c>
      <c r="AG104" s="68">
        <v>2895</v>
      </c>
      <c r="AH104" s="68">
        <v>3239</v>
      </c>
      <c r="AI104" s="68">
        <v>3441</v>
      </c>
      <c r="AJ104" s="203">
        <f t="shared" si="14"/>
        <v>12487</v>
      </c>
      <c r="AK104" s="68">
        <v>3740</v>
      </c>
      <c r="AL104" s="68">
        <v>3350</v>
      </c>
      <c r="AM104" s="68">
        <v>3546</v>
      </c>
      <c r="AN104" s="68">
        <v>3623</v>
      </c>
      <c r="AO104" s="203">
        <v>14259</v>
      </c>
      <c r="AP104" s="68">
        <v>3383</v>
      </c>
      <c r="AQ104" s="68">
        <v>3297</v>
      </c>
      <c r="AR104" s="68">
        <v>3568</v>
      </c>
      <c r="AS104" s="68">
        <v>3300</v>
      </c>
      <c r="AT104" s="203">
        <f t="shared" si="15"/>
        <v>13548</v>
      </c>
      <c r="AU104" s="454">
        <v>3360.3</v>
      </c>
      <c r="AV104" s="68">
        <v>3168.7</v>
      </c>
      <c r="AW104" s="68">
        <v>3724</v>
      </c>
      <c r="AX104" s="68">
        <v>3294</v>
      </c>
      <c r="AY104" s="203">
        <v>13547</v>
      </c>
      <c r="AZ104" s="337"/>
      <c r="BA104" s="337"/>
      <c r="BB104" s="337"/>
      <c r="BC104" s="337"/>
      <c r="BD104" s="337"/>
      <c r="BE104" s="337"/>
      <c r="BF104" s="337"/>
      <c r="BG104" s="337"/>
      <c r="BH104" s="528"/>
      <c r="BI104" s="528"/>
    </row>
    <row r="105" spans="1:61" ht="12.75">
      <c r="A105" s="178" t="s">
        <v>46</v>
      </c>
      <c r="B105" s="68">
        <v>75</v>
      </c>
      <c r="C105" s="68">
        <v>60</v>
      </c>
      <c r="D105" s="68">
        <v>55</v>
      </c>
      <c r="E105" s="68">
        <v>69</v>
      </c>
      <c r="F105" s="55">
        <f>+B105+C105+D105+E105</f>
        <v>259</v>
      </c>
      <c r="G105" s="68">
        <v>72</v>
      </c>
      <c r="H105" s="68">
        <v>53</v>
      </c>
      <c r="I105" s="68">
        <v>40</v>
      </c>
      <c r="J105" s="68">
        <v>58</v>
      </c>
      <c r="K105" s="55">
        <f>+G105+H105+I105+J105</f>
        <v>223</v>
      </c>
      <c r="L105" s="68">
        <v>71</v>
      </c>
      <c r="M105" s="68">
        <v>52</v>
      </c>
      <c r="N105" s="68">
        <v>45</v>
      </c>
      <c r="O105" s="68">
        <v>52</v>
      </c>
      <c r="P105" s="55">
        <v>220</v>
      </c>
      <c r="Q105" s="68">
        <v>62</v>
      </c>
      <c r="R105" s="68">
        <v>65</v>
      </c>
      <c r="S105" s="68">
        <v>52</v>
      </c>
      <c r="T105" s="68">
        <v>52</v>
      </c>
      <c r="U105" s="55">
        <v>231</v>
      </c>
      <c r="V105" s="68">
        <v>58</v>
      </c>
      <c r="W105" s="68">
        <v>48</v>
      </c>
      <c r="X105" s="68">
        <v>54</v>
      </c>
      <c r="Y105" s="68">
        <v>50</v>
      </c>
      <c r="Z105" s="203">
        <v>210</v>
      </c>
      <c r="AA105" s="68">
        <v>52</v>
      </c>
      <c r="AB105" s="68">
        <v>57</v>
      </c>
      <c r="AC105" s="68">
        <v>55</v>
      </c>
      <c r="AD105" s="68">
        <v>50</v>
      </c>
      <c r="AE105" s="203">
        <v>214</v>
      </c>
      <c r="AF105" s="68">
        <v>43</v>
      </c>
      <c r="AG105" s="68">
        <v>39</v>
      </c>
      <c r="AH105" s="68">
        <v>39</v>
      </c>
      <c r="AI105" s="68">
        <v>41</v>
      </c>
      <c r="AJ105" s="203">
        <f t="shared" si="14"/>
        <v>162</v>
      </c>
      <c r="AK105" s="68">
        <v>34</v>
      </c>
      <c r="AL105" s="68">
        <v>44</v>
      </c>
      <c r="AM105" s="68">
        <v>63</v>
      </c>
      <c r="AN105" s="68">
        <v>56</v>
      </c>
      <c r="AO105" s="203">
        <v>197</v>
      </c>
      <c r="AP105" s="68">
        <v>49</v>
      </c>
      <c r="AQ105" s="68">
        <v>45</v>
      </c>
      <c r="AR105" s="68">
        <v>49</v>
      </c>
      <c r="AS105" s="68">
        <v>45</v>
      </c>
      <c r="AT105" s="203">
        <f t="shared" si="15"/>
        <v>188</v>
      </c>
      <c r="AU105" s="454">
        <v>38.8</v>
      </c>
      <c r="AV105" s="68">
        <v>40.2</v>
      </c>
      <c r="AW105" s="68">
        <v>37</v>
      </c>
      <c r="AX105" s="68">
        <v>43</v>
      </c>
      <c r="AY105" s="203">
        <v>159</v>
      </c>
      <c r="AZ105" s="337"/>
      <c r="BA105" s="337"/>
      <c r="BB105" s="337"/>
      <c r="BC105" s="337"/>
      <c r="BD105" s="337"/>
      <c r="BE105" s="337"/>
      <c r="BF105" s="337"/>
      <c r="BG105" s="337"/>
      <c r="BH105" s="528"/>
      <c r="BI105" s="528"/>
    </row>
    <row r="106" spans="1:61" ht="12.75">
      <c r="A106" s="178" t="s">
        <v>47</v>
      </c>
      <c r="B106" s="68">
        <v>159</v>
      </c>
      <c r="C106" s="68">
        <v>142</v>
      </c>
      <c r="D106" s="68">
        <v>190</v>
      </c>
      <c r="E106" s="68">
        <v>282</v>
      </c>
      <c r="F106" s="55">
        <f>+B106+C106+D106+E106</f>
        <v>773</v>
      </c>
      <c r="G106" s="68">
        <v>357</v>
      </c>
      <c r="H106" s="68">
        <v>288</v>
      </c>
      <c r="I106" s="68">
        <v>278</v>
      </c>
      <c r="J106" s="68">
        <v>279</v>
      </c>
      <c r="K106" s="55">
        <f>+G106+H106+I106+J106</f>
        <v>1202</v>
      </c>
      <c r="L106" s="68">
        <v>248</v>
      </c>
      <c r="M106" s="68">
        <v>377</v>
      </c>
      <c r="N106" s="68">
        <v>416</v>
      </c>
      <c r="O106" s="68">
        <v>458</v>
      </c>
      <c r="P106" s="55">
        <v>1499</v>
      </c>
      <c r="Q106" s="68">
        <v>462</v>
      </c>
      <c r="R106" s="68">
        <v>417</v>
      </c>
      <c r="S106" s="68">
        <v>500</v>
      </c>
      <c r="T106" s="68">
        <v>554</v>
      </c>
      <c r="U106" s="55">
        <v>1933</v>
      </c>
      <c r="V106" s="68">
        <v>609</v>
      </c>
      <c r="W106" s="68">
        <v>552</v>
      </c>
      <c r="X106" s="68">
        <v>582</v>
      </c>
      <c r="Y106" s="68">
        <v>689</v>
      </c>
      <c r="Z106" s="203">
        <v>2433</v>
      </c>
      <c r="AA106" s="68">
        <v>633</v>
      </c>
      <c r="AB106" s="68">
        <v>551</v>
      </c>
      <c r="AC106" s="68">
        <v>576</v>
      </c>
      <c r="AD106" s="68">
        <v>612</v>
      </c>
      <c r="AE106" s="203">
        <v>2371</v>
      </c>
      <c r="AF106" s="68">
        <v>660</v>
      </c>
      <c r="AG106" s="68">
        <v>636</v>
      </c>
      <c r="AH106" s="68">
        <v>723</v>
      </c>
      <c r="AI106" s="68">
        <v>835</v>
      </c>
      <c r="AJ106" s="203">
        <f t="shared" si="14"/>
        <v>2854</v>
      </c>
      <c r="AK106" s="68">
        <v>833</v>
      </c>
      <c r="AL106" s="68">
        <v>648</v>
      </c>
      <c r="AM106" s="68">
        <v>750</v>
      </c>
      <c r="AN106" s="68">
        <v>683</v>
      </c>
      <c r="AO106" s="203">
        <v>2914</v>
      </c>
      <c r="AP106" s="68">
        <v>631</v>
      </c>
      <c r="AQ106" s="68">
        <v>646</v>
      </c>
      <c r="AR106" s="68">
        <v>740</v>
      </c>
      <c r="AS106" s="68">
        <v>785</v>
      </c>
      <c r="AT106" s="203">
        <f t="shared" si="15"/>
        <v>2802</v>
      </c>
      <c r="AU106" s="454">
        <v>797.7</v>
      </c>
      <c r="AV106" s="68">
        <v>811.3</v>
      </c>
      <c r="AW106" s="68">
        <v>843</v>
      </c>
      <c r="AX106" s="68">
        <v>778</v>
      </c>
      <c r="AY106" s="203">
        <v>3230</v>
      </c>
      <c r="AZ106" s="337"/>
      <c r="BA106" s="337"/>
      <c r="BB106" s="337"/>
      <c r="BC106" s="337"/>
      <c r="BD106" s="337"/>
      <c r="BE106" s="337"/>
      <c r="BF106" s="337"/>
      <c r="BG106" s="337"/>
      <c r="BH106" s="528"/>
      <c r="BI106" s="528"/>
    </row>
    <row r="107" spans="1:61" ht="12.75">
      <c r="A107" s="179" t="s">
        <v>54</v>
      </c>
      <c r="B107" s="61">
        <f aca="true" t="shared" si="16" ref="B107:K107">+B103+B104+B105+B106</f>
        <v>1970</v>
      </c>
      <c r="C107" s="61">
        <f t="shared" si="16"/>
        <v>1929</v>
      </c>
      <c r="D107" s="61">
        <f t="shared" si="16"/>
        <v>1923</v>
      </c>
      <c r="E107" s="61">
        <f t="shared" si="16"/>
        <v>2052</v>
      </c>
      <c r="F107" s="42">
        <f t="shared" si="16"/>
        <v>7874</v>
      </c>
      <c r="G107" s="61">
        <f t="shared" si="16"/>
        <v>1949</v>
      </c>
      <c r="H107" s="61">
        <f t="shared" si="16"/>
        <v>1754</v>
      </c>
      <c r="I107" s="61">
        <f t="shared" si="16"/>
        <v>1998</v>
      </c>
      <c r="J107" s="61">
        <f t="shared" si="16"/>
        <v>1715</v>
      </c>
      <c r="K107" s="42">
        <f t="shared" si="16"/>
        <v>7416</v>
      </c>
      <c r="L107" s="61">
        <v>1820</v>
      </c>
      <c r="M107" s="61">
        <v>3260</v>
      </c>
      <c r="N107" s="61">
        <v>3687</v>
      </c>
      <c r="O107" s="61">
        <v>3440</v>
      </c>
      <c r="P107" s="42">
        <v>12207</v>
      </c>
      <c r="Q107" s="61">
        <v>3524</v>
      </c>
      <c r="R107" s="61">
        <v>3482</v>
      </c>
      <c r="S107" s="61">
        <v>3559</v>
      </c>
      <c r="T107" s="61">
        <v>3633</v>
      </c>
      <c r="U107" s="42">
        <v>14198</v>
      </c>
      <c r="V107" s="61">
        <v>3850</v>
      </c>
      <c r="W107" s="61">
        <v>3440</v>
      </c>
      <c r="X107" s="61">
        <v>3887</v>
      </c>
      <c r="Y107" s="61">
        <v>3876</v>
      </c>
      <c r="Z107" s="197">
        <v>15054</v>
      </c>
      <c r="AA107" s="61">
        <v>3940</v>
      </c>
      <c r="AB107" s="61">
        <v>3575</v>
      </c>
      <c r="AC107" s="61">
        <v>3945</v>
      </c>
      <c r="AD107" s="61">
        <v>3650</v>
      </c>
      <c r="AE107" s="197">
        <v>15110</v>
      </c>
      <c r="AF107" s="61">
        <f>SUM(AF103:AF106)</f>
        <v>3803</v>
      </c>
      <c r="AG107" s="61">
        <f>SUM(AG103:AG106)</f>
        <v>3792</v>
      </c>
      <c r="AH107" s="61">
        <f>SUM(AH103:AH106)</f>
        <v>4206</v>
      </c>
      <c r="AI107" s="61">
        <f>SUM(AI103:AI106)</f>
        <v>4502</v>
      </c>
      <c r="AJ107" s="197">
        <f t="shared" si="14"/>
        <v>16303</v>
      </c>
      <c r="AK107" s="61">
        <v>4776</v>
      </c>
      <c r="AL107" s="61">
        <v>4256</v>
      </c>
      <c r="AM107" s="61">
        <v>4531</v>
      </c>
      <c r="AN107" s="61">
        <v>4578</v>
      </c>
      <c r="AO107" s="197">
        <v>18141</v>
      </c>
      <c r="AP107" s="61">
        <v>4242</v>
      </c>
      <c r="AQ107" s="61">
        <v>4184</v>
      </c>
      <c r="AR107" s="61">
        <f>SUM(AR103:AR106)</f>
        <v>4539</v>
      </c>
      <c r="AS107" s="61">
        <v>4342</v>
      </c>
      <c r="AT107" s="197">
        <f t="shared" si="15"/>
        <v>17307</v>
      </c>
      <c r="AU107" s="455">
        <f>SUM(AU103:AU106)</f>
        <v>4371.3</v>
      </c>
      <c r="AV107" s="61">
        <f>SUM(AV103:AV106)</f>
        <v>4196.7</v>
      </c>
      <c r="AW107" s="61">
        <f>SUM(AW103:AW106)</f>
        <v>4776</v>
      </c>
      <c r="AX107" s="61">
        <f>SUM(AX103:AX106)</f>
        <v>4279</v>
      </c>
      <c r="AY107" s="197">
        <v>17623</v>
      </c>
      <c r="AZ107" s="338"/>
      <c r="BA107" s="338"/>
      <c r="BB107" s="338"/>
      <c r="BC107" s="338"/>
      <c r="BD107" s="338"/>
      <c r="BE107" s="338"/>
      <c r="BF107" s="338"/>
      <c r="BG107" s="338"/>
      <c r="BH107" s="529"/>
      <c r="BI107" s="529"/>
    </row>
    <row r="108" spans="1:61" ht="25.5">
      <c r="A108" s="178" t="s">
        <v>259</v>
      </c>
      <c r="B108" s="63"/>
      <c r="C108" s="63"/>
      <c r="D108" s="63"/>
      <c r="E108" s="68"/>
      <c r="F108" s="55">
        <v>598</v>
      </c>
      <c r="G108" s="63"/>
      <c r="H108" s="63"/>
      <c r="I108" s="63"/>
      <c r="J108" s="68"/>
      <c r="K108" s="55">
        <v>1018</v>
      </c>
      <c r="L108" s="63">
        <v>243</v>
      </c>
      <c r="M108" s="63">
        <v>186</v>
      </c>
      <c r="N108" s="63">
        <v>187</v>
      </c>
      <c r="O108" s="68">
        <v>236</v>
      </c>
      <c r="P108" s="55">
        <v>852</v>
      </c>
      <c r="Q108" s="63">
        <v>189</v>
      </c>
      <c r="R108" s="63">
        <v>141</v>
      </c>
      <c r="S108" s="63">
        <v>152</v>
      </c>
      <c r="T108" s="68">
        <v>188</v>
      </c>
      <c r="U108" s="55">
        <v>670</v>
      </c>
      <c r="V108" s="63">
        <v>159</v>
      </c>
      <c r="W108" s="63">
        <v>127</v>
      </c>
      <c r="X108" s="63">
        <v>112</v>
      </c>
      <c r="Y108" s="68">
        <v>168</v>
      </c>
      <c r="Z108" s="203">
        <v>566</v>
      </c>
      <c r="AA108" s="63">
        <v>149</v>
      </c>
      <c r="AB108" s="63">
        <v>147</v>
      </c>
      <c r="AC108" s="63">
        <v>148</v>
      </c>
      <c r="AD108" s="68">
        <v>228</v>
      </c>
      <c r="AE108" s="203">
        <v>672</v>
      </c>
      <c r="AF108" s="63">
        <v>168</v>
      </c>
      <c r="AG108" s="63">
        <v>161</v>
      </c>
      <c r="AH108" s="63">
        <v>167</v>
      </c>
      <c r="AI108" s="68">
        <v>212</v>
      </c>
      <c r="AJ108" s="203">
        <f t="shared" si="14"/>
        <v>708</v>
      </c>
      <c r="AK108" s="63">
        <v>194</v>
      </c>
      <c r="AL108" s="63">
        <v>420</v>
      </c>
      <c r="AM108" s="63">
        <v>285</v>
      </c>
      <c r="AN108" s="68">
        <v>334</v>
      </c>
      <c r="AO108" s="203">
        <v>1233</v>
      </c>
      <c r="AP108" s="68">
        <v>290</v>
      </c>
      <c r="AQ108" s="63">
        <v>254</v>
      </c>
      <c r="AR108" s="63">
        <v>274</v>
      </c>
      <c r="AS108" s="68">
        <v>121</v>
      </c>
      <c r="AT108" s="203">
        <f t="shared" si="15"/>
        <v>939</v>
      </c>
      <c r="AU108" s="454">
        <v>256</v>
      </c>
      <c r="AV108" s="68">
        <v>250</v>
      </c>
      <c r="AW108" s="68">
        <v>266</v>
      </c>
      <c r="AX108" s="68">
        <v>288</v>
      </c>
      <c r="AY108" s="203">
        <v>1060</v>
      </c>
      <c r="AZ108" s="337"/>
      <c r="BA108" s="337"/>
      <c r="BB108" s="337"/>
      <c r="BC108" s="337"/>
      <c r="BD108" s="337"/>
      <c r="BE108" s="337"/>
      <c r="BF108" s="337"/>
      <c r="BG108" s="337"/>
      <c r="BH108" s="528"/>
      <c r="BI108" s="528"/>
    </row>
    <row r="109" spans="1:61" ht="12.75">
      <c r="A109" s="26"/>
      <c r="E109" s="15"/>
      <c r="F109" s="15"/>
      <c r="J109" s="15"/>
      <c r="K109" s="15"/>
      <c r="O109" s="15"/>
      <c r="P109" s="15"/>
      <c r="T109" s="15"/>
      <c r="U109" s="15"/>
      <c r="Y109" s="15"/>
      <c r="Z109" s="15"/>
      <c r="AD109" s="15"/>
      <c r="AE109" s="15"/>
      <c r="AI109" s="15"/>
      <c r="AJ109" s="15"/>
      <c r="AL109" s="15"/>
      <c r="AN109" s="15"/>
      <c r="AO109" s="15"/>
      <c r="AS109" s="15"/>
      <c r="AT109" s="15"/>
      <c r="AY109" s="15"/>
      <c r="AZ109" s="56"/>
      <c r="BA109" s="56"/>
      <c r="BB109" s="56"/>
      <c r="BC109" s="56"/>
      <c r="BD109" s="56"/>
      <c r="BE109" s="56"/>
      <c r="BF109" s="56"/>
      <c r="BG109" s="56"/>
      <c r="BH109" s="530"/>
      <c r="BI109" s="530"/>
    </row>
    <row r="110" spans="38:61" ht="12.75">
      <c r="AL110" s="15"/>
      <c r="AZ110" s="56"/>
      <c r="BA110" s="56"/>
      <c r="BB110" s="56"/>
      <c r="BC110" s="56"/>
      <c r="BD110" s="56"/>
      <c r="BE110" s="56"/>
      <c r="BF110" s="56"/>
      <c r="BG110" s="56"/>
      <c r="BH110" s="530"/>
      <c r="BI110" s="530"/>
    </row>
    <row r="111" spans="1:61" ht="12.75">
      <c r="A111" s="175" t="s">
        <v>393</v>
      </c>
      <c r="B111" s="7" t="s">
        <v>2</v>
      </c>
      <c r="C111" s="7" t="s">
        <v>3</v>
      </c>
      <c r="D111" s="7" t="s">
        <v>4</v>
      </c>
      <c r="E111" s="7" t="s">
        <v>5</v>
      </c>
      <c r="F111" s="7" t="s">
        <v>6</v>
      </c>
      <c r="G111" s="7" t="s">
        <v>12</v>
      </c>
      <c r="H111" s="7" t="s">
        <v>13</v>
      </c>
      <c r="I111" s="7" t="s">
        <v>14</v>
      </c>
      <c r="J111" s="7" t="s">
        <v>15</v>
      </c>
      <c r="K111" s="7" t="s">
        <v>16</v>
      </c>
      <c r="L111" s="7" t="s">
        <v>17</v>
      </c>
      <c r="M111" s="7" t="s">
        <v>18</v>
      </c>
      <c r="N111" s="7" t="s">
        <v>19</v>
      </c>
      <c r="O111" s="7" t="s">
        <v>20</v>
      </c>
      <c r="P111" s="7" t="s">
        <v>21</v>
      </c>
      <c r="Q111" s="7" t="s">
        <v>22</v>
      </c>
      <c r="R111" s="7" t="s">
        <v>23</v>
      </c>
      <c r="S111" s="7" t="s">
        <v>24</v>
      </c>
      <c r="T111" s="7" t="s">
        <v>25</v>
      </c>
      <c r="U111" s="7" t="s">
        <v>26</v>
      </c>
      <c r="V111" s="175" t="s">
        <v>27</v>
      </c>
      <c r="W111" s="175" t="s">
        <v>28</v>
      </c>
      <c r="X111" s="175" t="s">
        <v>29</v>
      </c>
      <c r="Y111" s="175" t="s">
        <v>30</v>
      </c>
      <c r="Z111" s="175" t="s">
        <v>31</v>
      </c>
      <c r="AA111" s="175" t="s">
        <v>32</v>
      </c>
      <c r="AB111" s="175" t="s">
        <v>33</v>
      </c>
      <c r="AC111" s="175" t="s">
        <v>34</v>
      </c>
      <c r="AD111" s="175" t="s">
        <v>271</v>
      </c>
      <c r="AE111" s="175" t="s">
        <v>272</v>
      </c>
      <c r="AF111" s="175" t="s">
        <v>274</v>
      </c>
      <c r="AG111" s="175" t="s">
        <v>276</v>
      </c>
      <c r="AH111" s="175" t="s">
        <v>278</v>
      </c>
      <c r="AI111" s="175" t="s">
        <v>280</v>
      </c>
      <c r="AJ111" s="175" t="s">
        <v>281</v>
      </c>
      <c r="AK111" s="175" t="s">
        <v>289</v>
      </c>
      <c r="AL111" s="175" t="s">
        <v>290</v>
      </c>
      <c r="AM111" s="175" t="s">
        <v>291</v>
      </c>
      <c r="AN111" s="175" t="s">
        <v>292</v>
      </c>
      <c r="AO111" s="175" t="s">
        <v>293</v>
      </c>
      <c r="AP111" s="175" t="s">
        <v>329</v>
      </c>
      <c r="AQ111" s="175" t="s">
        <v>330</v>
      </c>
      <c r="AR111" s="175" t="s">
        <v>331</v>
      </c>
      <c r="AS111" s="175" t="s">
        <v>332</v>
      </c>
      <c r="AT111" s="175" t="s">
        <v>333</v>
      </c>
      <c r="AU111" s="461" t="s">
        <v>448</v>
      </c>
      <c r="AV111" s="176" t="s">
        <v>451</v>
      </c>
      <c r="AW111" s="176" t="s">
        <v>453</v>
      </c>
      <c r="AX111" s="176" t="s">
        <v>454</v>
      </c>
      <c r="AY111" s="175" t="s">
        <v>457</v>
      </c>
      <c r="AZ111" s="326"/>
      <c r="BA111" s="326"/>
      <c r="BB111" s="326"/>
      <c r="BC111" s="326"/>
      <c r="BD111" s="326"/>
      <c r="BE111" s="326"/>
      <c r="BF111" s="326"/>
      <c r="BG111" s="326"/>
      <c r="BH111" s="527"/>
      <c r="BI111" s="527"/>
    </row>
    <row r="112" spans="1:61" ht="12.75">
      <c r="A112" s="50"/>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8"/>
      <c r="AJ112" s="18"/>
      <c r="AK112" s="19"/>
      <c r="AL112" s="19"/>
      <c r="AM112" s="19"/>
      <c r="AN112" s="18"/>
      <c r="AO112" s="18"/>
      <c r="AP112" s="19"/>
      <c r="AQ112" s="19"/>
      <c r="AR112" s="19"/>
      <c r="AS112" s="18"/>
      <c r="AT112" s="18"/>
      <c r="AU112" s="456"/>
      <c r="AV112" s="19"/>
      <c r="AW112" s="19"/>
      <c r="AX112" s="19"/>
      <c r="AY112" s="18"/>
      <c r="AZ112" s="328"/>
      <c r="BA112" s="328"/>
      <c r="BB112" s="328"/>
      <c r="BC112" s="328"/>
      <c r="BD112" s="328"/>
      <c r="BE112" s="328"/>
      <c r="BF112" s="328"/>
      <c r="BG112" s="328"/>
      <c r="BH112" s="521"/>
      <c r="BI112" s="521"/>
    </row>
    <row r="113" spans="1:61" ht="12.75">
      <c r="A113" s="178" t="s">
        <v>48</v>
      </c>
      <c r="B113" s="56"/>
      <c r="C113" s="56"/>
      <c r="D113" s="56"/>
      <c r="E113" s="56"/>
      <c r="F113" s="42">
        <v>1567</v>
      </c>
      <c r="G113" s="1"/>
      <c r="H113" s="1"/>
      <c r="I113" s="1"/>
      <c r="J113" s="1"/>
      <c r="K113" s="42">
        <v>1516</v>
      </c>
      <c r="L113" s="1"/>
      <c r="M113" s="1"/>
      <c r="N113" s="1"/>
      <c r="O113" s="1"/>
      <c r="P113" s="55">
        <v>2679</v>
      </c>
      <c r="Q113" s="68">
        <v>779</v>
      </c>
      <c r="R113" s="68">
        <v>717</v>
      </c>
      <c r="S113" s="68">
        <v>804</v>
      </c>
      <c r="T113" s="68">
        <v>806</v>
      </c>
      <c r="U113" s="55">
        <v>3106</v>
      </c>
      <c r="V113" s="68">
        <v>760</v>
      </c>
      <c r="W113" s="68">
        <v>680</v>
      </c>
      <c r="X113" s="68">
        <v>732</v>
      </c>
      <c r="Y113" s="68">
        <v>715</v>
      </c>
      <c r="Z113" s="203">
        <v>2888</v>
      </c>
      <c r="AA113" s="68">
        <v>693</v>
      </c>
      <c r="AB113" s="68">
        <v>708</v>
      </c>
      <c r="AC113" s="68">
        <v>721</v>
      </c>
      <c r="AD113" s="68">
        <v>618</v>
      </c>
      <c r="AE113" s="203">
        <v>2740</v>
      </c>
      <c r="AF113" s="68">
        <v>719</v>
      </c>
      <c r="AG113" s="68">
        <v>703</v>
      </c>
      <c r="AH113" s="68">
        <v>787</v>
      </c>
      <c r="AI113" s="68">
        <v>850</v>
      </c>
      <c r="AJ113" s="203">
        <f>+AF113+AG113+AH113+AI113</f>
        <v>3059</v>
      </c>
      <c r="AK113" s="68">
        <v>808</v>
      </c>
      <c r="AL113" s="68">
        <v>737</v>
      </c>
      <c r="AM113" s="68">
        <v>816</v>
      </c>
      <c r="AN113" s="68">
        <v>871</v>
      </c>
      <c r="AO113" s="203">
        <v>3232</v>
      </c>
      <c r="AP113" s="68">
        <v>758</v>
      </c>
      <c r="AQ113" s="68">
        <v>693</v>
      </c>
      <c r="AR113" s="68">
        <v>894</v>
      </c>
      <c r="AS113" s="68">
        <v>807</v>
      </c>
      <c r="AT113" s="203">
        <f>SUM(AP113:AS113)</f>
        <v>3152</v>
      </c>
      <c r="AU113" s="454">
        <v>737</v>
      </c>
      <c r="AV113" s="68">
        <v>653</v>
      </c>
      <c r="AW113" s="68">
        <v>802</v>
      </c>
      <c r="AX113" s="68">
        <v>745</v>
      </c>
      <c r="AY113" s="203">
        <v>2937</v>
      </c>
      <c r="AZ113" s="337"/>
      <c r="BA113" s="337"/>
      <c r="BB113" s="337"/>
      <c r="BC113" s="337"/>
      <c r="BD113" s="337"/>
      <c r="BE113" s="337"/>
      <c r="BF113" s="337"/>
      <c r="BG113" s="337"/>
      <c r="BH113" s="528"/>
      <c r="BI113" s="528"/>
    </row>
    <row r="114" spans="1:61" ht="12.75">
      <c r="A114" s="178" t="s">
        <v>302</v>
      </c>
      <c r="B114" s="56"/>
      <c r="C114" s="56"/>
      <c r="D114" s="56"/>
      <c r="E114" s="56"/>
      <c r="F114" s="2"/>
      <c r="G114" s="1"/>
      <c r="H114" s="1"/>
      <c r="I114" s="1"/>
      <c r="J114" s="1"/>
      <c r="K114" s="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68">
        <v>1651</v>
      </c>
      <c r="AM114" s="68">
        <v>1788</v>
      </c>
      <c r="AN114" s="68">
        <v>1746</v>
      </c>
      <c r="AO114" s="203">
        <v>6968</v>
      </c>
      <c r="AP114" s="68">
        <v>1591</v>
      </c>
      <c r="AQ114" s="68">
        <v>1720</v>
      </c>
      <c r="AR114" s="68">
        <v>1749</v>
      </c>
      <c r="AS114" s="68">
        <v>1735</v>
      </c>
      <c r="AT114" s="203">
        <f aca="true" t="shared" si="17" ref="AT114:AT126">SUM(AP114:AS114)</f>
        <v>6795</v>
      </c>
      <c r="AU114" s="454">
        <v>1566</v>
      </c>
      <c r="AV114" s="68">
        <v>1726</v>
      </c>
      <c r="AW114" s="68">
        <v>1952</v>
      </c>
      <c r="AX114" s="68">
        <v>1764</v>
      </c>
      <c r="AY114" s="203">
        <v>7008</v>
      </c>
      <c r="AZ114" s="337"/>
      <c r="BA114" s="337"/>
      <c r="BB114" s="337"/>
      <c r="BC114" s="337"/>
      <c r="BD114" s="337"/>
      <c r="BE114" s="337"/>
      <c r="BF114" s="337"/>
      <c r="BG114" s="337"/>
      <c r="BH114" s="528"/>
      <c r="BI114" s="528"/>
    </row>
    <row r="115" spans="1:61" ht="12.75">
      <c r="A115" s="178" t="s">
        <v>303</v>
      </c>
      <c r="B115" s="56"/>
      <c r="C115" s="56"/>
      <c r="D115" s="56"/>
      <c r="E115" s="56"/>
      <c r="F115" s="2"/>
      <c r="G115" s="1"/>
      <c r="H115" s="1"/>
      <c r="I115" s="1"/>
      <c r="J115" s="1"/>
      <c r="K115" s="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68">
        <v>137</v>
      </c>
      <c r="AM115" s="68">
        <v>112</v>
      </c>
      <c r="AN115" s="68">
        <v>179</v>
      </c>
      <c r="AO115" s="203">
        <v>634</v>
      </c>
      <c r="AP115" s="68">
        <v>233</v>
      </c>
      <c r="AQ115" s="68">
        <v>76</v>
      </c>
      <c r="AR115" s="68">
        <f>106+15</f>
        <v>121</v>
      </c>
      <c r="AS115" s="68">
        <v>120</v>
      </c>
      <c r="AT115" s="203">
        <f t="shared" si="17"/>
        <v>550</v>
      </c>
      <c r="AU115" s="454">
        <f>281+4+1</f>
        <v>286</v>
      </c>
      <c r="AV115" s="68">
        <v>58</v>
      </c>
      <c r="AW115" s="68">
        <v>119</v>
      </c>
      <c r="AX115" s="68">
        <v>163</v>
      </c>
      <c r="AY115" s="203">
        <v>626</v>
      </c>
      <c r="AZ115" s="337"/>
      <c r="BA115" s="337"/>
      <c r="BB115" s="337"/>
      <c r="BC115" s="337"/>
      <c r="BD115" s="337"/>
      <c r="BE115" s="337"/>
      <c r="BF115" s="337"/>
      <c r="BG115" s="337"/>
      <c r="BH115" s="528"/>
      <c r="BI115" s="528"/>
    </row>
    <row r="116" spans="1:61" ht="12.75">
      <c r="A116" s="178" t="s">
        <v>304</v>
      </c>
      <c r="B116" s="56"/>
      <c r="C116" s="56"/>
      <c r="D116" s="56"/>
      <c r="E116" s="56"/>
      <c r="F116" s="2"/>
      <c r="G116" s="1"/>
      <c r="H116" s="1"/>
      <c r="I116" s="1"/>
      <c r="J116" s="1"/>
      <c r="K116" s="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68">
        <v>94</v>
      </c>
      <c r="AM116" s="68">
        <v>98</v>
      </c>
      <c r="AN116" s="68">
        <v>71</v>
      </c>
      <c r="AO116" s="203">
        <v>353</v>
      </c>
      <c r="AP116" s="68">
        <v>63</v>
      </c>
      <c r="AQ116" s="68">
        <v>77</v>
      </c>
      <c r="AR116" s="68">
        <v>117</v>
      </c>
      <c r="AS116" s="68">
        <v>68</v>
      </c>
      <c r="AT116" s="203">
        <f t="shared" si="17"/>
        <v>325</v>
      </c>
      <c r="AU116" s="454">
        <v>63</v>
      </c>
      <c r="AV116" s="68">
        <v>71</v>
      </c>
      <c r="AW116" s="68">
        <v>99</v>
      </c>
      <c r="AX116" s="68">
        <v>70</v>
      </c>
      <c r="AY116" s="203">
        <v>303</v>
      </c>
      <c r="AZ116" s="337"/>
      <c r="BA116" s="337"/>
      <c r="BB116" s="337"/>
      <c r="BC116" s="337"/>
      <c r="BD116" s="337"/>
      <c r="BE116" s="337"/>
      <c r="BF116" s="337"/>
      <c r="BG116" s="337"/>
      <c r="BH116" s="528"/>
      <c r="BI116" s="528"/>
    </row>
    <row r="117" spans="1:61" ht="12.75">
      <c r="A117" s="178" t="s">
        <v>50</v>
      </c>
      <c r="B117" s="56"/>
      <c r="C117" s="56"/>
      <c r="D117" s="56"/>
      <c r="E117" s="56"/>
      <c r="F117" s="2"/>
      <c r="G117" s="1"/>
      <c r="H117" s="1"/>
      <c r="I117" s="1"/>
      <c r="J117" s="1"/>
      <c r="K117" s="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68">
        <v>379</v>
      </c>
      <c r="AM117" s="68">
        <v>398</v>
      </c>
      <c r="AN117" s="68">
        <v>456</v>
      </c>
      <c r="AO117" s="203">
        <v>1702</v>
      </c>
      <c r="AP117" s="68">
        <v>403</v>
      </c>
      <c r="AQ117" s="68">
        <v>339</v>
      </c>
      <c r="AR117" s="68">
        <v>371</v>
      </c>
      <c r="AS117" s="68">
        <v>435</v>
      </c>
      <c r="AT117" s="203">
        <f t="shared" si="17"/>
        <v>1548</v>
      </c>
      <c r="AU117" s="454">
        <v>404</v>
      </c>
      <c r="AV117" s="68">
        <v>341</v>
      </c>
      <c r="AW117" s="68">
        <v>468</v>
      </c>
      <c r="AX117" s="68">
        <v>392</v>
      </c>
      <c r="AY117" s="203">
        <v>1605</v>
      </c>
      <c r="AZ117" s="337"/>
      <c r="BA117" s="337"/>
      <c r="BB117" s="337"/>
      <c r="BC117" s="337"/>
      <c r="BD117" s="337"/>
      <c r="BE117" s="337"/>
      <c r="BF117" s="337"/>
      <c r="BG117" s="337"/>
      <c r="BH117" s="528"/>
      <c r="BI117" s="528"/>
    </row>
    <row r="118" spans="1:61" ht="12.75">
      <c r="A118" s="178" t="s">
        <v>305</v>
      </c>
      <c r="B118" s="56"/>
      <c r="C118" s="56"/>
      <c r="D118" s="56"/>
      <c r="E118" s="56"/>
      <c r="F118" s="2"/>
      <c r="G118" s="1"/>
      <c r="H118" s="1"/>
      <c r="I118" s="1"/>
      <c r="J118" s="1"/>
      <c r="K118" s="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68">
        <v>333</v>
      </c>
      <c r="AM118" s="68">
        <v>332</v>
      </c>
      <c r="AN118" s="68">
        <v>291</v>
      </c>
      <c r="AO118" s="203">
        <v>1162</v>
      </c>
      <c r="AP118" s="68">
        <v>205</v>
      </c>
      <c r="AQ118" s="68">
        <v>298</v>
      </c>
      <c r="AR118" s="68">
        <v>380</v>
      </c>
      <c r="AS118" s="68">
        <v>252</v>
      </c>
      <c r="AT118" s="203">
        <f t="shared" si="17"/>
        <v>1135</v>
      </c>
      <c r="AU118" s="454">
        <v>204</v>
      </c>
      <c r="AV118" s="68">
        <v>343</v>
      </c>
      <c r="AW118" s="68">
        <v>378</v>
      </c>
      <c r="AX118" s="68">
        <v>248</v>
      </c>
      <c r="AY118" s="203">
        <v>1173</v>
      </c>
      <c r="AZ118" s="337"/>
      <c r="BA118" s="337"/>
      <c r="BB118" s="337"/>
      <c r="BC118" s="337"/>
      <c r="BD118" s="337"/>
      <c r="BE118" s="337"/>
      <c r="BF118" s="337"/>
      <c r="BG118" s="337"/>
      <c r="BH118" s="528"/>
      <c r="BI118" s="528"/>
    </row>
    <row r="119" spans="1:61" ht="12.75">
      <c r="A119" s="178" t="s">
        <v>51</v>
      </c>
      <c r="B119" s="56"/>
      <c r="C119" s="56"/>
      <c r="D119" s="56"/>
      <c r="E119" s="56"/>
      <c r="F119" s="2"/>
      <c r="G119" s="1"/>
      <c r="H119" s="1"/>
      <c r="I119" s="1"/>
      <c r="J119" s="1"/>
      <c r="K119" s="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68">
        <v>507</v>
      </c>
      <c r="AM119" s="68">
        <v>591</v>
      </c>
      <c r="AN119" s="68">
        <v>576</v>
      </c>
      <c r="AO119" s="203">
        <v>2380</v>
      </c>
      <c r="AP119" s="68">
        <v>640</v>
      </c>
      <c r="AQ119" s="68">
        <v>657</v>
      </c>
      <c r="AR119" s="68">
        <f>43+85+37+25+38+252+68</f>
        <v>548</v>
      </c>
      <c r="AS119" s="68">
        <v>553</v>
      </c>
      <c r="AT119" s="203">
        <f t="shared" si="17"/>
        <v>2398</v>
      </c>
      <c r="AU119" s="454">
        <f>65+162+97+73+92+20+242</f>
        <v>751</v>
      </c>
      <c r="AV119" s="68">
        <v>718</v>
      </c>
      <c r="AW119" s="68">
        <v>564</v>
      </c>
      <c r="AX119" s="68">
        <v>530</v>
      </c>
      <c r="AY119" s="203">
        <v>2563</v>
      </c>
      <c r="AZ119" s="337"/>
      <c r="BA119" s="337"/>
      <c r="BB119" s="337"/>
      <c r="BC119" s="337"/>
      <c r="BD119" s="337"/>
      <c r="BE119" s="337"/>
      <c r="BF119" s="337"/>
      <c r="BG119" s="337"/>
      <c r="BH119" s="528"/>
      <c r="BI119" s="528"/>
    </row>
    <row r="120" spans="1:61" ht="12.75">
      <c r="A120" s="178" t="s">
        <v>49</v>
      </c>
      <c r="B120" s="56"/>
      <c r="C120" s="56"/>
      <c r="D120" s="56"/>
      <c r="E120" s="56"/>
      <c r="F120" s="42">
        <v>2393</v>
      </c>
      <c r="G120" s="1"/>
      <c r="H120" s="1"/>
      <c r="I120" s="1"/>
      <c r="J120" s="1"/>
      <c r="K120" s="42">
        <v>2701</v>
      </c>
      <c r="L120" s="1"/>
      <c r="M120" s="1"/>
      <c r="N120" s="1"/>
      <c r="O120" s="1"/>
      <c r="P120" s="55">
        <v>4554</v>
      </c>
      <c r="Q120" s="68">
        <v>1221</v>
      </c>
      <c r="R120" s="68">
        <v>1354</v>
      </c>
      <c r="S120" s="68">
        <v>1381</v>
      </c>
      <c r="T120" s="68">
        <v>1361</v>
      </c>
      <c r="U120" s="55">
        <v>5317</v>
      </c>
      <c r="V120" s="68">
        <v>1406</v>
      </c>
      <c r="W120" s="68">
        <v>1291</v>
      </c>
      <c r="X120" s="68">
        <v>1446</v>
      </c>
      <c r="Y120" s="68">
        <v>1463</v>
      </c>
      <c r="Z120" s="203">
        <v>5606</v>
      </c>
      <c r="AA120" s="68">
        <v>1457</v>
      </c>
      <c r="AB120" s="68">
        <v>1495</v>
      </c>
      <c r="AC120" s="68">
        <v>1570</v>
      </c>
      <c r="AD120" s="68">
        <v>1398</v>
      </c>
      <c r="AE120" s="203">
        <v>5920</v>
      </c>
      <c r="AF120" s="68">
        <v>1499</v>
      </c>
      <c r="AG120" s="68">
        <v>1445</v>
      </c>
      <c r="AH120" s="68">
        <v>1700</v>
      </c>
      <c r="AI120" s="68">
        <v>1785</v>
      </c>
      <c r="AJ120" s="203">
        <f aca="true" t="shared" si="18" ref="AJ120:AJ125">+AF120+AG120+AH120+AI120</f>
        <v>6429</v>
      </c>
      <c r="AK120" s="68">
        <v>1989</v>
      </c>
      <c r="AL120" s="1"/>
      <c r="AM120" s="1"/>
      <c r="AN120" s="1"/>
      <c r="AO120" s="1"/>
      <c r="AP120" s="1"/>
      <c r="AQ120" s="1"/>
      <c r="AR120" s="1"/>
      <c r="AS120" s="1"/>
      <c r="AT120" s="1"/>
      <c r="AU120" s="352"/>
      <c r="AV120" s="1"/>
      <c r="AW120" s="1"/>
      <c r="AX120" s="1"/>
      <c r="AY120" s="1"/>
      <c r="AZ120" s="1"/>
      <c r="BA120" s="1"/>
      <c r="BB120" s="1"/>
      <c r="BC120" s="1"/>
      <c r="BD120" s="1"/>
      <c r="BE120" s="1"/>
      <c r="BF120" s="1"/>
      <c r="BG120" s="1"/>
      <c r="BH120" s="524"/>
      <c r="BI120" s="524"/>
    </row>
    <row r="121" spans="1:61" ht="12.75">
      <c r="A121" s="178" t="s">
        <v>50</v>
      </c>
      <c r="B121" s="56"/>
      <c r="C121" s="56"/>
      <c r="D121" s="56"/>
      <c r="E121" s="56"/>
      <c r="F121" s="55">
        <v>840</v>
      </c>
      <c r="G121" s="1"/>
      <c r="H121" s="1"/>
      <c r="I121" s="1"/>
      <c r="J121" s="1"/>
      <c r="K121" s="55">
        <v>792</v>
      </c>
      <c r="L121" s="1"/>
      <c r="M121" s="1"/>
      <c r="N121" s="1"/>
      <c r="O121" s="1"/>
      <c r="P121" s="55">
        <v>1338</v>
      </c>
      <c r="Q121" s="68">
        <v>370</v>
      </c>
      <c r="R121" s="68">
        <v>364</v>
      </c>
      <c r="S121" s="68">
        <v>334</v>
      </c>
      <c r="T121" s="68">
        <v>378</v>
      </c>
      <c r="U121" s="55">
        <v>1446</v>
      </c>
      <c r="V121" s="68">
        <v>451</v>
      </c>
      <c r="W121" s="68">
        <v>407</v>
      </c>
      <c r="X121" s="68">
        <v>418</v>
      </c>
      <c r="Y121" s="68">
        <v>455</v>
      </c>
      <c r="Z121" s="203">
        <v>1732</v>
      </c>
      <c r="AA121" s="68">
        <v>530</v>
      </c>
      <c r="AB121" s="68">
        <v>426</v>
      </c>
      <c r="AC121" s="68">
        <v>423</v>
      </c>
      <c r="AD121" s="68">
        <v>460</v>
      </c>
      <c r="AE121" s="203">
        <v>1838</v>
      </c>
      <c r="AF121" s="68">
        <v>428</v>
      </c>
      <c r="AG121" s="68">
        <v>459</v>
      </c>
      <c r="AH121" s="68">
        <v>456</v>
      </c>
      <c r="AI121" s="68">
        <v>455</v>
      </c>
      <c r="AJ121" s="203">
        <f t="shared" si="18"/>
        <v>1798</v>
      </c>
      <c r="AK121" s="68">
        <v>469</v>
      </c>
      <c r="AL121" s="1"/>
      <c r="AM121" s="1"/>
      <c r="AN121" s="1"/>
      <c r="AO121" s="1"/>
      <c r="AP121" s="1"/>
      <c r="AQ121" s="1"/>
      <c r="AR121" s="1"/>
      <c r="AS121" s="1"/>
      <c r="AT121" s="1"/>
      <c r="AU121" s="352"/>
      <c r="AV121" s="1"/>
      <c r="AW121" s="1"/>
      <c r="AX121" s="1"/>
      <c r="AY121" s="1"/>
      <c r="AZ121" s="1"/>
      <c r="BA121" s="1"/>
      <c r="BB121" s="1"/>
      <c r="BC121" s="1"/>
      <c r="BD121" s="1"/>
      <c r="BE121" s="1"/>
      <c r="BF121" s="1"/>
      <c r="BG121" s="1"/>
      <c r="BH121" s="524"/>
      <c r="BI121" s="524"/>
    </row>
    <row r="122" spans="1:61" ht="12.75">
      <c r="A122" s="178" t="s">
        <v>51</v>
      </c>
      <c r="B122" s="56"/>
      <c r="C122" s="56"/>
      <c r="D122" s="56"/>
      <c r="E122" s="56"/>
      <c r="F122" s="55">
        <v>2496</v>
      </c>
      <c r="G122" s="1"/>
      <c r="H122" s="1"/>
      <c r="I122" s="1"/>
      <c r="J122" s="1"/>
      <c r="K122" s="55">
        <v>1769</v>
      </c>
      <c r="L122" s="1"/>
      <c r="M122" s="1"/>
      <c r="N122" s="1"/>
      <c r="O122" s="1"/>
      <c r="P122" s="55">
        <v>2417</v>
      </c>
      <c r="Q122" s="68">
        <v>780</v>
      </c>
      <c r="R122" s="68">
        <v>715</v>
      </c>
      <c r="S122" s="68">
        <v>673</v>
      </c>
      <c r="T122" s="68">
        <v>674</v>
      </c>
      <c r="U122" s="55">
        <v>2842</v>
      </c>
      <c r="V122" s="68">
        <v>781</v>
      </c>
      <c r="W122" s="68">
        <v>675</v>
      </c>
      <c r="X122" s="68">
        <v>875</v>
      </c>
      <c r="Y122" s="68">
        <v>785</v>
      </c>
      <c r="Z122" s="203">
        <v>3116</v>
      </c>
      <c r="AA122" s="68">
        <v>783</v>
      </c>
      <c r="AB122" s="68">
        <v>535</v>
      </c>
      <c r="AC122" s="68">
        <v>831</v>
      </c>
      <c r="AD122" s="68">
        <v>750</v>
      </c>
      <c r="AE122" s="203">
        <v>2900</v>
      </c>
      <c r="AF122" s="68">
        <v>697</v>
      </c>
      <c r="AG122" s="68">
        <v>779</v>
      </c>
      <c r="AH122" s="68">
        <v>818</v>
      </c>
      <c r="AI122" s="68">
        <v>914</v>
      </c>
      <c r="AJ122" s="203">
        <f t="shared" si="18"/>
        <v>3208</v>
      </c>
      <c r="AK122" s="68">
        <v>1002</v>
      </c>
      <c r="AL122" s="1"/>
      <c r="AM122" s="1"/>
      <c r="AN122" s="1"/>
      <c r="AO122" s="1"/>
      <c r="AP122" s="1"/>
      <c r="AQ122" s="1"/>
      <c r="AR122" s="1"/>
      <c r="AS122" s="1"/>
      <c r="AT122" s="1"/>
      <c r="AU122" s="352"/>
      <c r="AV122" s="1"/>
      <c r="AW122" s="1"/>
      <c r="AX122" s="1"/>
      <c r="AY122" s="1"/>
      <c r="AZ122" s="1"/>
      <c r="BA122" s="1"/>
      <c r="BB122" s="1"/>
      <c r="BC122" s="1"/>
      <c r="BD122" s="1"/>
      <c r="BE122" s="1"/>
      <c r="BF122" s="1"/>
      <c r="BG122" s="1"/>
      <c r="BH122" s="524"/>
      <c r="BI122" s="524"/>
    </row>
    <row r="123" spans="1:61" ht="12.75">
      <c r="A123" s="179" t="s">
        <v>52</v>
      </c>
      <c r="B123" s="56"/>
      <c r="C123" s="56"/>
      <c r="D123" s="56"/>
      <c r="E123" s="56"/>
      <c r="F123" s="42">
        <v>7296</v>
      </c>
      <c r="G123" s="1"/>
      <c r="H123" s="1"/>
      <c r="I123" s="1"/>
      <c r="J123" s="1"/>
      <c r="K123" s="42">
        <v>6778</v>
      </c>
      <c r="L123" s="1"/>
      <c r="M123" s="1"/>
      <c r="N123" s="1"/>
      <c r="O123" s="1"/>
      <c r="P123" s="42">
        <v>10988</v>
      </c>
      <c r="Q123" s="61">
        <v>3150</v>
      </c>
      <c r="R123" s="61">
        <v>3150</v>
      </c>
      <c r="S123" s="61">
        <v>3192</v>
      </c>
      <c r="T123" s="61">
        <v>3219</v>
      </c>
      <c r="U123" s="42">
        <v>12711</v>
      </c>
      <c r="V123" s="61">
        <v>3398</v>
      </c>
      <c r="W123" s="61">
        <v>3053</v>
      </c>
      <c r="X123" s="61">
        <v>3471</v>
      </c>
      <c r="Y123" s="61">
        <v>3418</v>
      </c>
      <c r="Z123" s="197">
        <v>13342</v>
      </c>
      <c r="AA123" s="61">
        <v>3463</v>
      </c>
      <c r="AB123" s="61">
        <v>3164</v>
      </c>
      <c r="AC123" s="61">
        <v>3545</v>
      </c>
      <c r="AD123" s="61">
        <v>3226</v>
      </c>
      <c r="AE123" s="197">
        <v>13398</v>
      </c>
      <c r="AF123" s="61">
        <f>SUM(AF113:AF122)</f>
        <v>3343</v>
      </c>
      <c r="AG123" s="61">
        <f>SUM(AG113:AG122)</f>
        <v>3386</v>
      </c>
      <c r="AH123" s="61">
        <f>SUM(AH113:AH122)</f>
        <v>3761</v>
      </c>
      <c r="AI123" s="61">
        <f>SUM(AI113:AI122)</f>
        <v>4004</v>
      </c>
      <c r="AJ123" s="197">
        <f t="shared" si="18"/>
        <v>14494</v>
      </c>
      <c r="AK123" s="61">
        <v>4268</v>
      </c>
      <c r="AL123" s="61">
        <v>3838</v>
      </c>
      <c r="AM123" s="61">
        <v>4135</v>
      </c>
      <c r="AN123" s="61">
        <v>4190</v>
      </c>
      <c r="AO123" s="197">
        <v>16431</v>
      </c>
      <c r="AP123" s="61">
        <v>3893</v>
      </c>
      <c r="AQ123" s="61">
        <v>3860</v>
      </c>
      <c r="AR123" s="61">
        <f>SUM(AR113:AR122)</f>
        <v>4180</v>
      </c>
      <c r="AS123" s="61">
        <f>SUM(AS113:AS122)</f>
        <v>3970</v>
      </c>
      <c r="AT123" s="197">
        <f t="shared" si="17"/>
        <v>15903</v>
      </c>
      <c r="AU123" s="455">
        <f>SUM(AU113:AU119)</f>
        <v>4011</v>
      </c>
      <c r="AV123" s="61">
        <f>SUM(AV113:AV119)</f>
        <v>3910</v>
      </c>
      <c r="AW123" s="61">
        <f>SUM(AW113:AW119)</f>
        <v>4382</v>
      </c>
      <c r="AX123" s="61">
        <f>SUM(AX113:AX119)</f>
        <v>3912</v>
      </c>
      <c r="AY123" s="197">
        <v>16215</v>
      </c>
      <c r="AZ123" s="338"/>
      <c r="BA123" s="338"/>
      <c r="BB123" s="338"/>
      <c r="BC123" s="338"/>
      <c r="BD123" s="338"/>
      <c r="BE123" s="338"/>
      <c r="BF123" s="338"/>
      <c r="BG123" s="338"/>
      <c r="BH123" s="529"/>
      <c r="BI123" s="529"/>
    </row>
    <row r="124" spans="1:61" ht="12.75">
      <c r="A124" s="178" t="s">
        <v>260</v>
      </c>
      <c r="B124" s="56"/>
      <c r="C124" s="56"/>
      <c r="D124" s="56"/>
      <c r="E124" s="56"/>
      <c r="F124" s="55">
        <v>136</v>
      </c>
      <c r="G124" s="1"/>
      <c r="H124" s="1"/>
      <c r="I124" s="1"/>
      <c r="J124" s="1"/>
      <c r="K124" s="55">
        <v>108</v>
      </c>
      <c r="L124" s="1"/>
      <c r="M124" s="1"/>
      <c r="N124" s="1"/>
      <c r="O124" s="1"/>
      <c r="P124" s="55"/>
      <c r="Q124" s="68"/>
      <c r="R124" s="68"/>
      <c r="S124" s="68"/>
      <c r="T124" s="68"/>
      <c r="U124" s="55"/>
      <c r="V124" s="68">
        <v>37</v>
      </c>
      <c r="W124" s="68">
        <v>43</v>
      </c>
      <c r="X124" s="68">
        <v>29</v>
      </c>
      <c r="Y124" s="68">
        <v>38</v>
      </c>
      <c r="Z124" s="203">
        <v>146</v>
      </c>
      <c r="AA124" s="68">
        <v>40</v>
      </c>
      <c r="AB124" s="68">
        <v>38</v>
      </c>
      <c r="AC124" s="68">
        <v>31</v>
      </c>
      <c r="AD124" s="68">
        <v>48</v>
      </c>
      <c r="AE124" s="203">
        <v>157</v>
      </c>
      <c r="AF124" s="68">
        <v>32</v>
      </c>
      <c r="AG124" s="68">
        <v>42</v>
      </c>
      <c r="AH124" s="68">
        <v>35</v>
      </c>
      <c r="AI124" s="68">
        <v>35</v>
      </c>
      <c r="AJ124" s="203">
        <f t="shared" si="18"/>
        <v>144</v>
      </c>
      <c r="AK124" s="68">
        <v>37</v>
      </c>
      <c r="AL124" s="68">
        <v>30</v>
      </c>
      <c r="AM124" s="68">
        <v>39</v>
      </c>
      <c r="AN124" s="68">
        <v>32</v>
      </c>
      <c r="AO124" s="203">
        <v>138</v>
      </c>
      <c r="AP124" s="68">
        <v>25</v>
      </c>
      <c r="AQ124" s="68">
        <v>11</v>
      </c>
      <c r="AR124" s="68">
        <v>57</v>
      </c>
      <c r="AS124" s="68">
        <v>37</v>
      </c>
      <c r="AT124" s="203">
        <f t="shared" si="17"/>
        <v>130</v>
      </c>
      <c r="AU124" s="454">
        <v>335</v>
      </c>
      <c r="AV124" s="68">
        <v>261</v>
      </c>
      <c r="AW124" s="68">
        <v>41</v>
      </c>
      <c r="AX124" s="68">
        <v>27.6</v>
      </c>
      <c r="AY124" s="203">
        <v>664.6</v>
      </c>
      <c r="AZ124" s="337"/>
      <c r="BA124" s="337"/>
      <c r="BB124" s="337"/>
      <c r="BC124" s="337"/>
      <c r="BD124" s="337"/>
      <c r="BE124" s="337"/>
      <c r="BF124" s="337"/>
      <c r="BG124" s="337"/>
      <c r="BH124" s="528"/>
      <c r="BI124" s="528"/>
    </row>
    <row r="125" spans="1:61" ht="12.75">
      <c r="A125" s="178" t="s">
        <v>268</v>
      </c>
      <c r="B125" s="56"/>
      <c r="C125" s="56"/>
      <c r="D125" s="56"/>
      <c r="E125" s="56"/>
      <c r="F125" s="55">
        <v>442</v>
      </c>
      <c r="G125" s="1"/>
      <c r="H125" s="1"/>
      <c r="I125" s="1"/>
      <c r="J125" s="1"/>
      <c r="K125" s="55">
        <v>530</v>
      </c>
      <c r="L125" s="1"/>
      <c r="M125" s="1"/>
      <c r="N125" s="1"/>
      <c r="O125" s="1"/>
      <c r="P125" s="55">
        <v>1219</v>
      </c>
      <c r="Q125" s="68">
        <v>374.0000000000009</v>
      </c>
      <c r="R125" s="68">
        <v>332</v>
      </c>
      <c r="S125" s="68">
        <v>367</v>
      </c>
      <c r="T125" s="68">
        <v>414</v>
      </c>
      <c r="U125" s="55">
        <v>1487</v>
      </c>
      <c r="V125" s="68">
        <v>415</v>
      </c>
      <c r="W125" s="68">
        <v>344</v>
      </c>
      <c r="X125" s="68">
        <v>387</v>
      </c>
      <c r="Y125" s="68">
        <v>420</v>
      </c>
      <c r="Z125" s="203">
        <v>1566</v>
      </c>
      <c r="AA125" s="68">
        <v>437</v>
      </c>
      <c r="AB125" s="68">
        <v>373</v>
      </c>
      <c r="AC125" s="68">
        <v>369</v>
      </c>
      <c r="AD125" s="68">
        <v>376</v>
      </c>
      <c r="AE125" s="203">
        <v>1555</v>
      </c>
      <c r="AF125" s="68">
        <v>428</v>
      </c>
      <c r="AG125" s="68">
        <v>364</v>
      </c>
      <c r="AH125" s="68">
        <v>410</v>
      </c>
      <c r="AI125" s="68">
        <v>463</v>
      </c>
      <c r="AJ125" s="203">
        <f t="shared" si="18"/>
        <v>1665</v>
      </c>
      <c r="AK125" s="68">
        <v>471</v>
      </c>
      <c r="AL125" s="68">
        <v>388</v>
      </c>
      <c r="AM125" s="68">
        <v>357</v>
      </c>
      <c r="AN125" s="68">
        <v>356</v>
      </c>
      <c r="AO125" s="203">
        <v>1572</v>
      </c>
      <c r="AP125" s="68">
        <v>324</v>
      </c>
      <c r="AQ125" s="68">
        <v>313</v>
      </c>
      <c r="AR125" s="68">
        <v>302</v>
      </c>
      <c r="AS125" s="68">
        <v>335</v>
      </c>
      <c r="AT125" s="203">
        <f t="shared" si="17"/>
        <v>1274</v>
      </c>
      <c r="AU125" s="454">
        <v>25</v>
      </c>
      <c r="AV125" s="68">
        <v>26</v>
      </c>
      <c r="AW125" s="68">
        <v>353</v>
      </c>
      <c r="AX125" s="68">
        <v>339</v>
      </c>
      <c r="AY125" s="203">
        <v>743</v>
      </c>
      <c r="AZ125" s="337"/>
      <c r="BA125" s="337"/>
      <c r="BB125" s="337"/>
      <c r="BC125" s="337"/>
      <c r="BD125" s="337"/>
      <c r="BE125" s="337"/>
      <c r="BF125" s="337"/>
      <c r="BG125" s="337"/>
      <c r="BH125" s="528"/>
      <c r="BI125" s="528"/>
    </row>
    <row r="126" spans="1:61" ht="12.75" customHeight="1">
      <c r="A126" s="179" t="s">
        <v>53</v>
      </c>
      <c r="B126" s="56"/>
      <c r="C126" s="56"/>
      <c r="D126" s="56"/>
      <c r="E126" s="56"/>
      <c r="F126" s="42">
        <v>7874</v>
      </c>
      <c r="G126" s="1"/>
      <c r="H126" s="1"/>
      <c r="I126" s="1"/>
      <c r="J126" s="1"/>
      <c r="K126" s="42">
        <v>7416</v>
      </c>
      <c r="L126" s="1"/>
      <c r="M126" s="1"/>
      <c r="N126" s="1"/>
      <c r="O126" s="1"/>
      <c r="P126" s="42">
        <v>12207</v>
      </c>
      <c r="Q126" s="61">
        <v>3524</v>
      </c>
      <c r="R126" s="61">
        <v>3482</v>
      </c>
      <c r="S126" s="61">
        <v>3559</v>
      </c>
      <c r="T126" s="61">
        <v>3633</v>
      </c>
      <c r="U126" s="42">
        <v>14198</v>
      </c>
      <c r="V126" s="61">
        <v>3850</v>
      </c>
      <c r="W126" s="61">
        <v>3440</v>
      </c>
      <c r="X126" s="61">
        <v>3887</v>
      </c>
      <c r="Y126" s="61">
        <v>3876</v>
      </c>
      <c r="Z126" s="197">
        <v>15054</v>
      </c>
      <c r="AA126" s="61">
        <v>3940</v>
      </c>
      <c r="AB126" s="61">
        <v>3575</v>
      </c>
      <c r="AC126" s="61">
        <v>3945</v>
      </c>
      <c r="AD126" s="61">
        <v>3650</v>
      </c>
      <c r="AE126" s="197">
        <v>15110</v>
      </c>
      <c r="AF126" s="61">
        <f>+AF123+AF124+AF125</f>
        <v>3803</v>
      </c>
      <c r="AG126" s="61">
        <f>+AG123+AG124+AG125</f>
        <v>3792</v>
      </c>
      <c r="AH126" s="61">
        <f>+AH123+AH124+AH125</f>
        <v>4206</v>
      </c>
      <c r="AI126" s="61">
        <f>+AI123+AI124+AI125</f>
        <v>4502</v>
      </c>
      <c r="AJ126" s="197">
        <f>+AJ123+AJ124+AJ125</f>
        <v>16303</v>
      </c>
      <c r="AK126" s="61">
        <v>4776</v>
      </c>
      <c r="AL126" s="61">
        <v>4256</v>
      </c>
      <c r="AM126" s="61">
        <v>4531</v>
      </c>
      <c r="AN126" s="61">
        <v>4578</v>
      </c>
      <c r="AO126" s="197">
        <v>18141</v>
      </c>
      <c r="AP126" s="61">
        <v>4242</v>
      </c>
      <c r="AQ126" s="61">
        <v>4184</v>
      </c>
      <c r="AR126" s="61">
        <f>SUM(AR123:AR125)</f>
        <v>4539</v>
      </c>
      <c r="AS126" s="61">
        <f>SUM(AS123:AS125)</f>
        <v>4342</v>
      </c>
      <c r="AT126" s="197">
        <f t="shared" si="17"/>
        <v>17307</v>
      </c>
      <c r="AU126" s="455">
        <f>SUM(AU123:AU125)</f>
        <v>4371</v>
      </c>
      <c r="AV126" s="61">
        <f>SUM(AV123:AV125)</f>
        <v>4197</v>
      </c>
      <c r="AW126" s="61">
        <f>SUM(AW123:AW125)</f>
        <v>4776</v>
      </c>
      <c r="AX126" s="61">
        <f>SUM(AX123:AX125)</f>
        <v>4278.6</v>
      </c>
      <c r="AY126" s="197">
        <v>17622.6</v>
      </c>
      <c r="AZ126" s="338"/>
      <c r="BA126" s="338"/>
      <c r="BB126" s="338"/>
      <c r="BC126" s="338"/>
      <c r="BD126" s="338"/>
      <c r="BE126" s="338"/>
      <c r="BF126" s="338"/>
      <c r="BG126" s="338"/>
      <c r="BH126" s="529"/>
      <c r="BI126" s="529"/>
    </row>
    <row r="127" spans="1:61" ht="25.5">
      <c r="A127" s="26" t="s">
        <v>269</v>
      </c>
      <c r="AZ127" s="56"/>
      <c r="BA127" s="56"/>
      <c r="BB127" s="56"/>
      <c r="BC127" s="56"/>
      <c r="BD127" s="56"/>
      <c r="BE127" s="56"/>
      <c r="BF127" s="56"/>
      <c r="BG127" s="56"/>
      <c r="BH127" s="530"/>
      <c r="BI127" s="530"/>
    </row>
    <row r="128" spans="1:61" ht="12.75">
      <c r="A128" s="26"/>
      <c r="AZ128" s="56"/>
      <c r="BA128" s="56"/>
      <c r="BB128" s="56"/>
      <c r="BC128" s="56"/>
      <c r="BD128" s="56"/>
      <c r="BE128" s="56"/>
      <c r="BF128" s="56"/>
      <c r="BG128" s="56"/>
      <c r="BH128" s="530"/>
      <c r="BI128" s="530"/>
    </row>
    <row r="129" spans="52:61" ht="12.75">
      <c r="AZ129" s="56"/>
      <c r="BA129" s="56"/>
      <c r="BB129" s="56"/>
      <c r="BC129" s="56"/>
      <c r="BD129" s="56"/>
      <c r="BE129" s="56"/>
      <c r="BF129" s="56"/>
      <c r="BG129" s="56"/>
      <c r="BH129" s="530"/>
      <c r="BI129" s="530"/>
    </row>
    <row r="130" spans="1:61" ht="12.75">
      <c r="A130" s="175" t="s">
        <v>394</v>
      </c>
      <c r="B130" s="7" t="s">
        <v>2</v>
      </c>
      <c r="C130" s="7" t="s">
        <v>3</v>
      </c>
      <c r="D130" s="7" t="s">
        <v>4</v>
      </c>
      <c r="E130" s="7" t="s">
        <v>5</v>
      </c>
      <c r="F130" s="7" t="s">
        <v>6</v>
      </c>
      <c r="G130" s="7" t="s">
        <v>12</v>
      </c>
      <c r="H130" s="7" t="s">
        <v>13</v>
      </c>
      <c r="I130" s="7" t="s">
        <v>14</v>
      </c>
      <c r="J130" s="7" t="s">
        <v>15</v>
      </c>
      <c r="K130" s="7" t="s">
        <v>16</v>
      </c>
      <c r="L130" s="7" t="s">
        <v>17</v>
      </c>
      <c r="M130" s="7" t="s">
        <v>18</v>
      </c>
      <c r="N130" s="7" t="s">
        <v>19</v>
      </c>
      <c r="O130" s="7" t="s">
        <v>20</v>
      </c>
      <c r="P130" s="7" t="s">
        <v>21</v>
      </c>
      <c r="Q130" s="7" t="s">
        <v>22</v>
      </c>
      <c r="R130" s="7" t="s">
        <v>23</v>
      </c>
      <c r="S130" s="7" t="s">
        <v>24</v>
      </c>
      <c r="T130" s="7" t="s">
        <v>25</v>
      </c>
      <c r="U130" s="7" t="s">
        <v>26</v>
      </c>
      <c r="V130" s="175" t="s">
        <v>27</v>
      </c>
      <c r="W130" s="175" t="s">
        <v>28</v>
      </c>
      <c r="X130" s="175" t="s">
        <v>29</v>
      </c>
      <c r="Y130" s="175" t="s">
        <v>30</v>
      </c>
      <c r="Z130" s="175" t="s">
        <v>31</v>
      </c>
      <c r="AA130" s="175" t="s">
        <v>32</v>
      </c>
      <c r="AB130" s="175" t="s">
        <v>33</v>
      </c>
      <c r="AC130" s="175" t="s">
        <v>34</v>
      </c>
      <c r="AD130" s="175" t="s">
        <v>271</v>
      </c>
      <c r="AE130" s="175" t="s">
        <v>272</v>
      </c>
      <c r="AF130" s="175" t="s">
        <v>274</v>
      </c>
      <c r="AG130" s="175" t="s">
        <v>276</v>
      </c>
      <c r="AH130" s="175" t="s">
        <v>278</v>
      </c>
      <c r="AI130" s="175" t="s">
        <v>280</v>
      </c>
      <c r="AJ130" s="175" t="s">
        <v>281</v>
      </c>
      <c r="AK130" s="175" t="s">
        <v>289</v>
      </c>
      <c r="AL130" s="175" t="s">
        <v>290</v>
      </c>
      <c r="AM130" s="175" t="s">
        <v>291</v>
      </c>
      <c r="AN130" s="175" t="s">
        <v>292</v>
      </c>
      <c r="AO130" s="175" t="s">
        <v>293</v>
      </c>
      <c r="AP130" s="175" t="s">
        <v>329</v>
      </c>
      <c r="AQ130" s="175" t="s">
        <v>330</v>
      </c>
      <c r="AR130" s="175" t="s">
        <v>331</v>
      </c>
      <c r="AS130" s="175" t="s">
        <v>332</v>
      </c>
      <c r="AT130" s="175" t="s">
        <v>333</v>
      </c>
      <c r="AU130" s="461" t="s">
        <v>448</v>
      </c>
      <c r="AV130" s="176" t="s">
        <v>451</v>
      </c>
      <c r="AW130" s="176" t="s">
        <v>453</v>
      </c>
      <c r="AX130" s="176" t="s">
        <v>454</v>
      </c>
      <c r="AY130" s="175" t="s">
        <v>457</v>
      </c>
      <c r="AZ130" s="326"/>
      <c r="BA130" s="326"/>
      <c r="BB130" s="326"/>
      <c r="BC130" s="326"/>
      <c r="BD130" s="326"/>
      <c r="BE130" s="326"/>
      <c r="BF130" s="326"/>
      <c r="BG130" s="326"/>
      <c r="BH130" s="527"/>
      <c r="BI130" s="527"/>
    </row>
    <row r="131" spans="1:61" ht="12.75">
      <c r="A131" s="32"/>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2"/>
      <c r="AJ131" s="52"/>
      <c r="AK131" s="51"/>
      <c r="AL131" s="51"/>
      <c r="AM131" s="51"/>
      <c r="AN131" s="52"/>
      <c r="AO131" s="52"/>
      <c r="AP131" s="51"/>
      <c r="AQ131" s="51"/>
      <c r="AR131" s="51"/>
      <c r="AS131" s="52"/>
      <c r="AT131" s="52"/>
      <c r="AU131" s="458"/>
      <c r="AV131" s="51"/>
      <c r="AW131" s="51"/>
      <c r="AX131" s="51"/>
      <c r="AY131" s="52"/>
      <c r="AZ131" s="339"/>
      <c r="BA131" s="339"/>
      <c r="BB131" s="339"/>
      <c r="BC131" s="339"/>
      <c r="BD131" s="339"/>
      <c r="BE131" s="339"/>
      <c r="BF131" s="339"/>
      <c r="BG131" s="339"/>
      <c r="BH131" s="522"/>
      <c r="BI131" s="522"/>
    </row>
    <row r="132" spans="1:61" ht="12.75">
      <c r="A132" s="178" t="s">
        <v>55</v>
      </c>
      <c r="B132" s="68">
        <v>1068</v>
      </c>
      <c r="C132" s="68">
        <v>1099</v>
      </c>
      <c r="D132" s="68">
        <v>1205</v>
      </c>
      <c r="E132" s="68">
        <v>1314</v>
      </c>
      <c r="F132" s="55">
        <v>4686</v>
      </c>
      <c r="G132" s="68">
        <v>900</v>
      </c>
      <c r="H132" s="68">
        <v>1018</v>
      </c>
      <c r="I132" s="68">
        <v>1189</v>
      </c>
      <c r="J132" s="68">
        <v>1162</v>
      </c>
      <c r="K132" s="55">
        <v>4269</v>
      </c>
      <c r="L132" s="68">
        <v>881</v>
      </c>
      <c r="M132" s="68">
        <v>1047</v>
      </c>
      <c r="N132" s="68">
        <v>1132</v>
      </c>
      <c r="O132" s="68">
        <v>1203</v>
      </c>
      <c r="P132" s="55">
        <v>4263</v>
      </c>
      <c r="Q132" s="68">
        <v>826</v>
      </c>
      <c r="R132" s="68">
        <v>989</v>
      </c>
      <c r="S132" s="68">
        <v>1108</v>
      </c>
      <c r="T132" s="68">
        <v>1159</v>
      </c>
      <c r="U132" s="55">
        <v>4082</v>
      </c>
      <c r="V132" s="68">
        <v>808</v>
      </c>
      <c r="W132" s="68">
        <v>1038</v>
      </c>
      <c r="X132" s="68">
        <v>1189</v>
      </c>
      <c r="Y132" s="68">
        <v>1221</v>
      </c>
      <c r="Z132" s="203">
        <v>4256</v>
      </c>
      <c r="AA132" s="68">
        <v>964</v>
      </c>
      <c r="AB132" s="68">
        <v>1206</v>
      </c>
      <c r="AC132" s="68">
        <v>1321</v>
      </c>
      <c r="AD132" s="68">
        <v>1313</v>
      </c>
      <c r="AE132" s="203">
        <v>4804</v>
      </c>
      <c r="AF132" s="68">
        <v>1017</v>
      </c>
      <c r="AG132" s="68">
        <v>1193</v>
      </c>
      <c r="AH132" s="68">
        <v>1377</v>
      </c>
      <c r="AI132" s="68">
        <f>1290-20</f>
        <v>1270</v>
      </c>
      <c r="AJ132" s="203">
        <f>SUM(AF132:AI132)</f>
        <v>4857</v>
      </c>
      <c r="AK132" s="68">
        <v>1055</v>
      </c>
      <c r="AL132" s="68">
        <v>1209</v>
      </c>
      <c r="AM132" s="68">
        <v>1324</v>
      </c>
      <c r="AN132" s="68">
        <v>1320</v>
      </c>
      <c r="AO132" s="203">
        <v>4908</v>
      </c>
      <c r="AP132" s="68">
        <v>1068</v>
      </c>
      <c r="AQ132" s="68">
        <v>1267</v>
      </c>
      <c r="AR132" s="68">
        <v>1299</v>
      </c>
      <c r="AS132" s="68">
        <v>1264</v>
      </c>
      <c r="AT132" s="203">
        <f>SUM(AP132:AS132)</f>
        <v>4898</v>
      </c>
      <c r="AU132" s="454">
        <v>866</v>
      </c>
      <c r="AV132" s="68">
        <v>1161</v>
      </c>
      <c r="AW132" s="68">
        <v>1212</v>
      </c>
      <c r="AX132" s="68">
        <v>1088</v>
      </c>
      <c r="AY132" s="203">
        <v>4327</v>
      </c>
      <c r="AZ132" s="337"/>
      <c r="BA132" s="337"/>
      <c r="BB132" s="337"/>
      <c r="BC132" s="337"/>
      <c r="BD132" s="337"/>
      <c r="BE132" s="337"/>
      <c r="BF132" s="337"/>
      <c r="BG132" s="337"/>
      <c r="BH132" s="528"/>
      <c r="BI132" s="528"/>
    </row>
    <row r="133" spans="1:61" ht="12.75">
      <c r="A133" s="178" t="s">
        <v>56</v>
      </c>
      <c r="B133" s="68"/>
      <c r="C133" s="68"/>
      <c r="D133" s="68"/>
      <c r="E133" s="68"/>
      <c r="F133" s="55"/>
      <c r="G133" s="68">
        <v>60</v>
      </c>
      <c r="H133" s="68">
        <v>73</v>
      </c>
      <c r="I133" s="68">
        <v>76</v>
      </c>
      <c r="J133" s="68">
        <v>50</v>
      </c>
      <c r="K133" s="55">
        <v>259</v>
      </c>
      <c r="L133" s="68">
        <v>32</v>
      </c>
      <c r="M133" s="68">
        <v>351</v>
      </c>
      <c r="N133" s="68">
        <v>407</v>
      </c>
      <c r="O133" s="68">
        <v>402</v>
      </c>
      <c r="P133" s="55">
        <v>1192</v>
      </c>
      <c r="Q133" s="68">
        <v>288</v>
      </c>
      <c r="R133" s="68">
        <v>377</v>
      </c>
      <c r="S133" s="68">
        <v>389</v>
      </c>
      <c r="T133" s="68">
        <v>357</v>
      </c>
      <c r="U133" s="55">
        <v>1411</v>
      </c>
      <c r="V133" s="68">
        <v>269</v>
      </c>
      <c r="W133" s="68">
        <v>351</v>
      </c>
      <c r="X133" s="68">
        <v>392</v>
      </c>
      <c r="Y133" s="68">
        <v>373</v>
      </c>
      <c r="Z133" s="203">
        <v>1385</v>
      </c>
      <c r="AA133" s="68">
        <v>284</v>
      </c>
      <c r="AB133" s="68">
        <v>385</v>
      </c>
      <c r="AC133" s="68">
        <v>419</v>
      </c>
      <c r="AD133" s="68">
        <v>384</v>
      </c>
      <c r="AE133" s="203">
        <v>1471</v>
      </c>
      <c r="AF133" s="68">
        <v>301</v>
      </c>
      <c r="AG133" s="68">
        <v>391</v>
      </c>
      <c r="AH133" s="68">
        <v>432</v>
      </c>
      <c r="AI133" s="68">
        <v>408</v>
      </c>
      <c r="AJ133" s="203">
        <f>SUM(AF133:AI133)</f>
        <v>1532</v>
      </c>
      <c r="AK133" s="68">
        <v>326</v>
      </c>
      <c r="AL133" s="68">
        <v>416</v>
      </c>
      <c r="AM133" s="68">
        <v>470</v>
      </c>
      <c r="AN133" s="68">
        <v>423</v>
      </c>
      <c r="AO133" s="203">
        <v>1635</v>
      </c>
      <c r="AP133" s="68">
        <v>268</v>
      </c>
      <c r="AQ133" s="68">
        <v>356</v>
      </c>
      <c r="AR133" s="68">
        <v>437</v>
      </c>
      <c r="AS133" s="68">
        <v>374</v>
      </c>
      <c r="AT133" s="203">
        <f>SUM(AP133:AS133)</f>
        <v>1435</v>
      </c>
      <c r="AU133" s="454">
        <v>331</v>
      </c>
      <c r="AV133" s="68">
        <v>361</v>
      </c>
      <c r="AW133" s="68">
        <v>436</v>
      </c>
      <c r="AX133" s="68">
        <v>399</v>
      </c>
      <c r="AY133" s="203">
        <v>1527</v>
      </c>
      <c r="AZ133" s="337"/>
      <c r="BA133" s="337"/>
      <c r="BB133" s="337"/>
      <c r="BC133" s="337"/>
      <c r="BD133" s="337"/>
      <c r="BE133" s="337"/>
      <c r="BF133" s="337"/>
      <c r="BG133" s="337"/>
      <c r="BH133" s="528"/>
      <c r="BI133" s="528"/>
    </row>
    <row r="134" spans="1:61" ht="12.75">
      <c r="A134" s="178" t="s">
        <v>57</v>
      </c>
      <c r="B134" s="68">
        <v>571</v>
      </c>
      <c r="C134" s="68">
        <v>553</v>
      </c>
      <c r="D134" s="68">
        <v>633</v>
      </c>
      <c r="E134" s="68">
        <v>595</v>
      </c>
      <c r="F134" s="55">
        <v>2352</v>
      </c>
      <c r="G134" s="68">
        <v>574</v>
      </c>
      <c r="H134" s="68">
        <v>607</v>
      </c>
      <c r="I134" s="68">
        <v>662</v>
      </c>
      <c r="J134" s="68">
        <v>569</v>
      </c>
      <c r="K134" s="55">
        <v>2412</v>
      </c>
      <c r="L134" s="68">
        <v>528</v>
      </c>
      <c r="M134" s="68">
        <v>1344</v>
      </c>
      <c r="N134" s="68">
        <v>1485</v>
      </c>
      <c r="O134" s="68">
        <v>1424</v>
      </c>
      <c r="P134" s="55">
        <v>4781</v>
      </c>
      <c r="Q134" s="68">
        <v>1236</v>
      </c>
      <c r="R134" s="68">
        <v>1494</v>
      </c>
      <c r="S134" s="68">
        <v>1658</v>
      </c>
      <c r="T134" s="68">
        <v>1612</v>
      </c>
      <c r="U134" s="55">
        <v>6000</v>
      </c>
      <c r="V134" s="68">
        <v>1398</v>
      </c>
      <c r="W134" s="68">
        <v>1592</v>
      </c>
      <c r="X134" s="68">
        <v>1597</v>
      </c>
      <c r="Y134" s="68">
        <v>1526</v>
      </c>
      <c r="Z134" s="203">
        <v>6113</v>
      </c>
      <c r="AA134" s="68">
        <v>1390</v>
      </c>
      <c r="AB134" s="68">
        <v>1546</v>
      </c>
      <c r="AC134" s="68">
        <v>1535</v>
      </c>
      <c r="AD134" s="68">
        <v>1343</v>
      </c>
      <c r="AE134" s="203">
        <v>5814</v>
      </c>
      <c r="AF134" s="68">
        <v>1436</v>
      </c>
      <c r="AG134" s="68">
        <v>1590</v>
      </c>
      <c r="AH134" s="68">
        <v>1710</v>
      </c>
      <c r="AI134" s="68">
        <f>1717+252</f>
        <v>1969</v>
      </c>
      <c r="AJ134" s="203">
        <f>SUM(AF134:AI134)</f>
        <v>6705</v>
      </c>
      <c r="AK134" s="68">
        <v>2086</v>
      </c>
      <c r="AL134" s="68">
        <v>2399</v>
      </c>
      <c r="AM134" s="68">
        <v>2253</v>
      </c>
      <c r="AN134" s="68">
        <v>2273</v>
      </c>
      <c r="AO134" s="203">
        <v>9011</v>
      </c>
      <c r="AP134" s="68">
        <v>2176</v>
      </c>
      <c r="AQ134" s="68">
        <v>2104</v>
      </c>
      <c r="AR134" s="68">
        <v>2301</v>
      </c>
      <c r="AS134" s="68">
        <v>2252</v>
      </c>
      <c r="AT134" s="203">
        <f>SUM(AP134:AS134)</f>
        <v>8833</v>
      </c>
      <c r="AU134" s="454">
        <v>2047</v>
      </c>
      <c r="AV134" s="68">
        <v>2311</v>
      </c>
      <c r="AW134" s="68">
        <v>2494</v>
      </c>
      <c r="AX134" s="68">
        <v>2452</v>
      </c>
      <c r="AY134" s="203">
        <v>9304</v>
      </c>
      <c r="AZ134" s="337"/>
      <c r="BA134" s="337"/>
      <c r="BB134" s="337"/>
      <c r="BC134" s="337"/>
      <c r="BD134" s="337"/>
      <c r="BE134" s="337"/>
      <c r="BF134" s="337"/>
      <c r="BG134" s="337"/>
      <c r="BH134" s="528"/>
      <c r="BI134" s="528"/>
    </row>
    <row r="135" spans="1:61" ht="12.75">
      <c r="A135" s="179" t="s">
        <v>58</v>
      </c>
      <c r="B135" s="61">
        <v>1639</v>
      </c>
      <c r="C135" s="61">
        <v>1652</v>
      </c>
      <c r="D135" s="61">
        <v>1838</v>
      </c>
      <c r="E135" s="61">
        <v>1909</v>
      </c>
      <c r="F135" s="42">
        <v>7038</v>
      </c>
      <c r="G135" s="61">
        <v>1534</v>
      </c>
      <c r="H135" s="61">
        <v>1698</v>
      </c>
      <c r="I135" s="61">
        <v>1927</v>
      </c>
      <c r="J135" s="61">
        <v>1781</v>
      </c>
      <c r="K135" s="42">
        <v>6940</v>
      </c>
      <c r="L135" s="61">
        <v>1441</v>
      </c>
      <c r="M135" s="61">
        <v>2742</v>
      </c>
      <c r="N135" s="61">
        <v>3024</v>
      </c>
      <c r="O135" s="61">
        <v>3029</v>
      </c>
      <c r="P135" s="42">
        <v>10236</v>
      </c>
      <c r="Q135" s="61">
        <v>2350</v>
      </c>
      <c r="R135" s="61">
        <v>2860</v>
      </c>
      <c r="S135" s="61">
        <v>3155</v>
      </c>
      <c r="T135" s="61">
        <v>3128</v>
      </c>
      <c r="U135" s="42">
        <v>11493</v>
      </c>
      <c r="V135" s="61">
        <v>2475</v>
      </c>
      <c r="W135" s="61">
        <v>2981</v>
      </c>
      <c r="X135" s="61">
        <v>3178</v>
      </c>
      <c r="Y135" s="61">
        <v>3120</v>
      </c>
      <c r="Z135" s="197">
        <v>11754</v>
      </c>
      <c r="AA135" s="61">
        <v>2638</v>
      </c>
      <c r="AB135" s="61">
        <v>3137</v>
      </c>
      <c r="AC135" s="61">
        <v>3275</v>
      </c>
      <c r="AD135" s="61">
        <v>3040</v>
      </c>
      <c r="AE135" s="197">
        <v>12089</v>
      </c>
      <c r="AF135" s="61">
        <f>+AF132+AF133+AF134</f>
        <v>2754</v>
      </c>
      <c r="AG135" s="61">
        <f>+AG132+AG133+AG134</f>
        <v>3174</v>
      </c>
      <c r="AH135" s="61">
        <v>3519</v>
      </c>
      <c r="AI135" s="61">
        <f>SUM(AI132:AI134)</f>
        <v>3647</v>
      </c>
      <c r="AJ135" s="197">
        <f>+AF135+AG135+AH135+AI135</f>
        <v>13094</v>
      </c>
      <c r="AK135" s="61">
        <f>+AK132+AK133+AK134</f>
        <v>3467</v>
      </c>
      <c r="AL135" s="61">
        <f>+AL132+AL133+AL134</f>
        <v>4024</v>
      </c>
      <c r="AM135" s="61">
        <f>+AM132+AM133+AM134</f>
        <v>4047</v>
      </c>
      <c r="AN135" s="61">
        <v>4016</v>
      </c>
      <c r="AO135" s="197">
        <f>+AK135+AL135+AM135+AN135</f>
        <v>15554</v>
      </c>
      <c r="AP135" s="61">
        <f>+AP132+AP133+AP134</f>
        <v>3512</v>
      </c>
      <c r="AQ135" s="61">
        <f>+AQ132+AQ133+AQ134</f>
        <v>3727</v>
      </c>
      <c r="AR135" s="61">
        <f>SUM(AR132:AR134)</f>
        <v>4037</v>
      </c>
      <c r="AS135" s="61">
        <f>SUM(AS132:AS134)</f>
        <v>3890</v>
      </c>
      <c r="AT135" s="197">
        <f>SUM(AP135:AS135)</f>
        <v>15166</v>
      </c>
      <c r="AU135" s="455">
        <f>+AU132+AU133+AU134</f>
        <v>3244</v>
      </c>
      <c r="AV135" s="61">
        <f>+AV132+AV133+AV134</f>
        <v>3833</v>
      </c>
      <c r="AW135" s="61">
        <f>+AW132+AW133+AW134</f>
        <v>4142</v>
      </c>
      <c r="AX135" s="61">
        <f>+AX132+AX133+AX134</f>
        <v>3939</v>
      </c>
      <c r="AY135" s="197">
        <v>15158</v>
      </c>
      <c r="AZ135" s="338"/>
      <c r="BA135" s="338"/>
      <c r="BB135" s="338"/>
      <c r="BC135" s="338"/>
      <c r="BD135" s="338"/>
      <c r="BE135" s="338"/>
      <c r="BF135" s="338"/>
      <c r="BG135" s="338"/>
      <c r="BH135" s="529"/>
      <c r="BI135" s="529"/>
    </row>
    <row r="136" spans="1:61" ht="12.75">
      <c r="A136" s="33" t="s">
        <v>314</v>
      </c>
      <c r="AZ136" s="56"/>
      <c r="BA136" s="56"/>
      <c r="BB136" s="56"/>
      <c r="BC136" s="56"/>
      <c r="BD136" s="56"/>
      <c r="BE136" s="56"/>
      <c r="BF136" s="56"/>
      <c r="BG136" s="56"/>
      <c r="BH136" s="530"/>
      <c r="BI136" s="530"/>
    </row>
    <row r="137" spans="1:61" ht="12.75">
      <c r="A137" s="33" t="s">
        <v>270</v>
      </c>
      <c r="AZ137" s="56"/>
      <c r="BA137" s="56"/>
      <c r="BB137" s="56"/>
      <c r="BC137" s="56"/>
      <c r="BD137" s="56"/>
      <c r="BE137" s="56"/>
      <c r="BF137" s="56"/>
      <c r="BG137" s="56"/>
      <c r="BH137" s="530"/>
      <c r="BI137" s="530"/>
    </row>
    <row r="138" spans="52:61" ht="12.75">
      <c r="AZ138" s="56"/>
      <c r="BA138" s="56"/>
      <c r="BB138" s="56"/>
      <c r="BC138" s="56"/>
      <c r="BD138" s="56"/>
      <c r="BE138" s="56"/>
      <c r="BF138" s="56"/>
      <c r="BG138" s="56"/>
      <c r="BH138" s="530"/>
      <c r="BI138" s="530"/>
    </row>
    <row r="139" spans="1:61" ht="12.75">
      <c r="A139" s="175" t="s">
        <v>395</v>
      </c>
      <c r="B139" s="58" t="s">
        <v>2</v>
      </c>
      <c r="C139" s="58" t="s">
        <v>3</v>
      </c>
      <c r="D139" s="58" t="s">
        <v>4</v>
      </c>
      <c r="E139" s="58" t="s">
        <v>5</v>
      </c>
      <c r="F139" s="58" t="s">
        <v>6</v>
      </c>
      <c r="G139" s="58" t="s">
        <v>12</v>
      </c>
      <c r="H139" s="58" t="s">
        <v>13</v>
      </c>
      <c r="I139" s="58" t="s">
        <v>14</v>
      </c>
      <c r="J139" s="58" t="s">
        <v>15</v>
      </c>
      <c r="K139" s="58" t="s">
        <v>16</v>
      </c>
      <c r="L139" s="58" t="s">
        <v>17</v>
      </c>
      <c r="M139" s="58" t="s">
        <v>18</v>
      </c>
      <c r="N139" s="58" t="s">
        <v>19</v>
      </c>
      <c r="O139" s="58" t="s">
        <v>20</v>
      </c>
      <c r="P139" s="58" t="s">
        <v>21</v>
      </c>
      <c r="Q139" s="58" t="s">
        <v>22</v>
      </c>
      <c r="R139" s="58" t="s">
        <v>23</v>
      </c>
      <c r="S139" s="58" t="s">
        <v>24</v>
      </c>
      <c r="T139" s="58" t="s">
        <v>25</v>
      </c>
      <c r="U139" s="58" t="s">
        <v>26</v>
      </c>
      <c r="V139" s="175" t="s">
        <v>27</v>
      </c>
      <c r="W139" s="175" t="s">
        <v>28</v>
      </c>
      <c r="X139" s="175" t="s">
        <v>29</v>
      </c>
      <c r="Y139" s="175" t="s">
        <v>30</v>
      </c>
      <c r="Z139" s="175" t="s">
        <v>31</v>
      </c>
      <c r="AA139" s="175" t="s">
        <v>32</v>
      </c>
      <c r="AB139" s="175" t="s">
        <v>33</v>
      </c>
      <c r="AC139" s="175" t="s">
        <v>34</v>
      </c>
      <c r="AD139" s="175" t="s">
        <v>271</v>
      </c>
      <c r="AE139" s="175" t="s">
        <v>272</v>
      </c>
      <c r="AF139" s="175" t="s">
        <v>274</v>
      </c>
      <c r="AG139" s="175" t="s">
        <v>276</v>
      </c>
      <c r="AH139" s="175" t="s">
        <v>278</v>
      </c>
      <c r="AI139" s="175" t="s">
        <v>280</v>
      </c>
      <c r="AJ139" s="175" t="s">
        <v>281</v>
      </c>
      <c r="AK139" s="175" t="s">
        <v>289</v>
      </c>
      <c r="AL139" s="175" t="s">
        <v>290</v>
      </c>
      <c r="AM139" s="175" t="s">
        <v>291</v>
      </c>
      <c r="AN139" s="175" t="s">
        <v>292</v>
      </c>
      <c r="AO139" s="175" t="s">
        <v>293</v>
      </c>
      <c r="AP139" s="175" t="s">
        <v>329</v>
      </c>
      <c r="AQ139" s="175" t="s">
        <v>330</v>
      </c>
      <c r="AR139" s="175" t="s">
        <v>331</v>
      </c>
      <c r="AS139" s="175" t="s">
        <v>332</v>
      </c>
      <c r="AT139" s="175" t="s">
        <v>333</v>
      </c>
      <c r="AU139" s="461" t="s">
        <v>448</v>
      </c>
      <c r="AV139" s="176" t="s">
        <v>451</v>
      </c>
      <c r="AW139" s="176" t="s">
        <v>453</v>
      </c>
      <c r="AX139" s="176" t="s">
        <v>454</v>
      </c>
      <c r="AY139" s="175" t="s">
        <v>457</v>
      </c>
      <c r="AZ139" s="326"/>
      <c r="BA139" s="326"/>
      <c r="BB139" s="326"/>
      <c r="BC139" s="326"/>
      <c r="BD139" s="326"/>
      <c r="BE139" s="326"/>
      <c r="BF139" s="326"/>
      <c r="BG139" s="326"/>
      <c r="BH139" s="527"/>
      <c r="BI139" s="527"/>
    </row>
    <row r="140" spans="1:61" ht="12.75">
      <c r="A140" s="32"/>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18"/>
      <c r="AJ140" s="18"/>
      <c r="AK140" s="19"/>
      <c r="AL140" s="19"/>
      <c r="AM140" s="19"/>
      <c r="AN140" s="18"/>
      <c r="AO140" s="18"/>
      <c r="AP140" s="19"/>
      <c r="AQ140" s="19"/>
      <c r="AR140" s="19"/>
      <c r="AS140" s="18"/>
      <c r="AT140" s="18"/>
      <c r="AU140" s="456"/>
      <c r="AV140" s="19"/>
      <c r="AW140" s="19"/>
      <c r="AX140" s="19"/>
      <c r="AY140" s="18"/>
      <c r="AZ140" s="328"/>
      <c r="BA140" s="328"/>
      <c r="BB140" s="328"/>
      <c r="BC140" s="328"/>
      <c r="BD140" s="328"/>
      <c r="BE140" s="328"/>
      <c r="BF140" s="328"/>
      <c r="BG140" s="328"/>
      <c r="BH140" s="521"/>
      <c r="BI140" s="521"/>
    </row>
    <row r="141" spans="1:61" ht="12.75">
      <c r="A141" s="178" t="s">
        <v>48</v>
      </c>
      <c r="B141" s="68">
        <v>388.1</v>
      </c>
      <c r="C141" s="68">
        <v>405.8</v>
      </c>
      <c r="D141" s="68">
        <v>477.5</v>
      </c>
      <c r="E141" s="68">
        <v>404.6</v>
      </c>
      <c r="F141" s="55">
        <v>1676</v>
      </c>
      <c r="G141" s="68">
        <v>357.3</v>
      </c>
      <c r="H141" s="68">
        <v>411.2</v>
      </c>
      <c r="I141" s="68">
        <v>467.8</v>
      </c>
      <c r="J141" s="68">
        <v>407.7</v>
      </c>
      <c r="K141" s="55">
        <v>1644</v>
      </c>
      <c r="L141" s="68">
        <v>285</v>
      </c>
      <c r="M141" s="68">
        <v>825</v>
      </c>
      <c r="N141" s="68">
        <v>674</v>
      </c>
      <c r="O141" s="68">
        <v>986</v>
      </c>
      <c r="P141" s="55">
        <v>2770</v>
      </c>
      <c r="Q141" s="68">
        <v>648</v>
      </c>
      <c r="R141" s="68">
        <v>837</v>
      </c>
      <c r="S141" s="68">
        <v>866</v>
      </c>
      <c r="T141" s="68">
        <v>830</v>
      </c>
      <c r="U141" s="55">
        <v>3181</v>
      </c>
      <c r="V141" s="68">
        <v>670</v>
      </c>
      <c r="W141" s="68">
        <v>807</v>
      </c>
      <c r="X141" s="68">
        <v>801</v>
      </c>
      <c r="Y141" s="68">
        <v>823</v>
      </c>
      <c r="Z141" s="203">
        <v>3102</v>
      </c>
      <c r="AA141" s="68">
        <v>677</v>
      </c>
      <c r="AB141" s="68">
        <v>807</v>
      </c>
      <c r="AC141" s="68">
        <v>799</v>
      </c>
      <c r="AD141" s="68">
        <v>672</v>
      </c>
      <c r="AE141" s="203">
        <v>2955</v>
      </c>
      <c r="AF141" s="68">
        <v>686</v>
      </c>
      <c r="AG141" s="68">
        <v>791</v>
      </c>
      <c r="AH141" s="68">
        <v>845</v>
      </c>
      <c r="AI141" s="68">
        <f>775+43</f>
        <v>818</v>
      </c>
      <c r="AJ141" s="203">
        <f>SUM(AF141:AI141)</f>
        <v>3140</v>
      </c>
      <c r="AK141" s="68">
        <v>776</v>
      </c>
      <c r="AL141" s="68">
        <v>879</v>
      </c>
      <c r="AM141" s="68">
        <v>890</v>
      </c>
      <c r="AN141" s="68">
        <v>875</v>
      </c>
      <c r="AO141" s="203">
        <f>+AK141+AL141+AM141+AN141</f>
        <v>3420</v>
      </c>
      <c r="AP141" s="68">
        <v>769</v>
      </c>
      <c r="AQ141" s="68">
        <v>835</v>
      </c>
      <c r="AR141" s="68">
        <v>914</v>
      </c>
      <c r="AS141" s="68">
        <v>846</v>
      </c>
      <c r="AT141" s="203">
        <f aca="true" t="shared" si="19" ref="AT141:AT150">SUM(AP141:AS141)</f>
        <v>3364</v>
      </c>
      <c r="AU141" s="454">
        <v>687</v>
      </c>
      <c r="AV141" s="68">
        <v>797</v>
      </c>
      <c r="AW141" s="68">
        <v>857</v>
      </c>
      <c r="AX141" s="68">
        <v>809</v>
      </c>
      <c r="AY141" s="203">
        <v>3150</v>
      </c>
      <c r="AZ141" s="337"/>
      <c r="BA141" s="337"/>
      <c r="BB141" s="337"/>
      <c r="BC141" s="337"/>
      <c r="BD141" s="337"/>
      <c r="BE141" s="337"/>
      <c r="BF141" s="337"/>
      <c r="BG141" s="337"/>
      <c r="BH141" s="528"/>
      <c r="BI141" s="528"/>
    </row>
    <row r="142" spans="1:61" ht="12.75">
      <c r="A142" s="178" t="s">
        <v>302</v>
      </c>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68">
        <v>1737</v>
      </c>
      <c r="AL142" s="68">
        <v>2005</v>
      </c>
      <c r="AM142" s="68">
        <v>2062</v>
      </c>
      <c r="AN142" s="68">
        <v>2081</v>
      </c>
      <c r="AO142" s="203">
        <f>+AK142+AL142+AM142+AN142</f>
        <v>7885</v>
      </c>
      <c r="AP142" s="68">
        <v>1747</v>
      </c>
      <c r="AQ142" s="68">
        <v>1908</v>
      </c>
      <c r="AR142" s="68">
        <v>1930</v>
      </c>
      <c r="AS142" s="68">
        <v>2074</v>
      </c>
      <c r="AT142" s="203">
        <f t="shared" si="19"/>
        <v>7659</v>
      </c>
      <c r="AU142" s="454">
        <v>1667</v>
      </c>
      <c r="AV142" s="68">
        <v>2001</v>
      </c>
      <c r="AW142" s="68">
        <v>2102</v>
      </c>
      <c r="AX142" s="68">
        <v>2019</v>
      </c>
      <c r="AY142" s="203">
        <v>7789</v>
      </c>
      <c r="AZ142" s="337"/>
      <c r="BA142" s="337"/>
      <c r="BB142" s="337"/>
      <c r="BC142" s="337"/>
      <c r="BD142" s="337"/>
      <c r="BE142" s="337"/>
      <c r="BF142" s="337"/>
      <c r="BG142" s="337"/>
      <c r="BH142" s="528"/>
      <c r="BI142" s="528"/>
    </row>
    <row r="143" spans="1:61" ht="12.75">
      <c r="A143" s="178" t="s">
        <v>306</v>
      </c>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68">
        <v>165</v>
      </c>
      <c r="AL143" s="68">
        <v>222</v>
      </c>
      <c r="AM143" s="68">
        <v>98</v>
      </c>
      <c r="AN143" s="68">
        <v>125</v>
      </c>
      <c r="AO143" s="203">
        <f>+AK143+AL143+AM143+AN143</f>
        <v>610</v>
      </c>
      <c r="AP143" s="68">
        <v>246</v>
      </c>
      <c r="AQ143" s="68">
        <v>123</v>
      </c>
      <c r="AR143" s="68">
        <v>237</v>
      </c>
      <c r="AS143" s="68">
        <v>75</v>
      </c>
      <c r="AT143" s="203">
        <f t="shared" si="19"/>
        <v>681</v>
      </c>
      <c r="AU143" s="454">
        <v>208</v>
      </c>
      <c r="AV143" s="68">
        <v>110</v>
      </c>
      <c r="AW143" s="68">
        <v>232</v>
      </c>
      <c r="AX143" s="68">
        <v>252</v>
      </c>
      <c r="AY143" s="203">
        <v>802</v>
      </c>
      <c r="AZ143" s="337"/>
      <c r="BA143" s="337"/>
      <c r="BB143" s="337"/>
      <c r="BC143" s="337"/>
      <c r="BD143" s="337"/>
      <c r="BE143" s="337"/>
      <c r="BF143" s="337"/>
      <c r="BG143" s="337"/>
      <c r="BH143" s="528"/>
      <c r="BI143" s="528"/>
    </row>
    <row r="144" spans="1:61" ht="12.75">
      <c r="A144" s="178" t="s">
        <v>307</v>
      </c>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68">
        <v>77</v>
      </c>
      <c r="AL144" s="68">
        <v>88</v>
      </c>
      <c r="AM144" s="68">
        <v>107</v>
      </c>
      <c r="AN144" s="68">
        <v>75</v>
      </c>
      <c r="AO144" s="203">
        <f>+AK144+AL144+AM144+AN144</f>
        <v>347</v>
      </c>
      <c r="AP144" s="68">
        <v>60</v>
      </c>
      <c r="AQ144" s="68">
        <v>87</v>
      </c>
      <c r="AR144" s="68">
        <v>109</v>
      </c>
      <c r="AS144" s="68">
        <v>76</v>
      </c>
      <c r="AT144" s="203">
        <f t="shared" si="19"/>
        <v>332</v>
      </c>
      <c r="AU144" s="454">
        <v>62</v>
      </c>
      <c r="AV144" s="68">
        <v>74</v>
      </c>
      <c r="AW144" s="68">
        <v>100</v>
      </c>
      <c r="AX144" s="68">
        <v>73</v>
      </c>
      <c r="AY144" s="203">
        <v>309</v>
      </c>
      <c r="AZ144" s="337"/>
      <c r="BA144" s="337"/>
      <c r="BB144" s="337"/>
      <c r="BC144" s="337"/>
      <c r="BD144" s="337"/>
      <c r="BE144" s="337"/>
      <c r="BF144" s="337"/>
      <c r="BG144" s="337"/>
      <c r="BH144" s="528"/>
      <c r="BI144" s="528"/>
    </row>
    <row r="145" spans="1:61" ht="12.75">
      <c r="A145" s="178" t="s">
        <v>59</v>
      </c>
      <c r="B145" s="68">
        <v>547.8</v>
      </c>
      <c r="C145" s="68">
        <v>639.1</v>
      </c>
      <c r="D145" s="68">
        <v>720</v>
      </c>
      <c r="E145" s="68">
        <v>780.1</v>
      </c>
      <c r="F145" s="55">
        <v>2687</v>
      </c>
      <c r="G145" s="68">
        <v>705.8</v>
      </c>
      <c r="H145" s="68">
        <v>777</v>
      </c>
      <c r="I145" s="68">
        <v>879.6</v>
      </c>
      <c r="J145" s="68">
        <v>723.6</v>
      </c>
      <c r="K145" s="55">
        <v>3086</v>
      </c>
      <c r="L145" s="68">
        <v>679</v>
      </c>
      <c r="M145" s="68">
        <v>1108</v>
      </c>
      <c r="N145" s="68">
        <v>1596</v>
      </c>
      <c r="O145" s="68">
        <v>1558</v>
      </c>
      <c r="P145" s="55">
        <v>4941</v>
      </c>
      <c r="Q145" s="68">
        <v>1140</v>
      </c>
      <c r="R145" s="68">
        <v>1385</v>
      </c>
      <c r="S145" s="68">
        <v>1543</v>
      </c>
      <c r="T145" s="68">
        <v>1580</v>
      </c>
      <c r="U145" s="55">
        <v>5648</v>
      </c>
      <c r="V145" s="68">
        <v>1255</v>
      </c>
      <c r="W145" s="68">
        <v>1501</v>
      </c>
      <c r="X145" s="68">
        <v>1565</v>
      </c>
      <c r="Y145" s="68">
        <v>1581</v>
      </c>
      <c r="Z145" s="203">
        <v>5901</v>
      </c>
      <c r="AA145" s="68">
        <v>1363</v>
      </c>
      <c r="AB145" s="68">
        <v>1655</v>
      </c>
      <c r="AC145" s="68">
        <v>1760</v>
      </c>
      <c r="AD145" s="68">
        <v>1606</v>
      </c>
      <c r="AE145" s="203">
        <v>6384</v>
      </c>
      <c r="AF145" s="68">
        <v>1480</v>
      </c>
      <c r="AG145" s="68">
        <v>1675</v>
      </c>
      <c r="AH145" s="68">
        <v>1841</v>
      </c>
      <c r="AI145" s="68">
        <f>1854-20+117</f>
        <v>1951</v>
      </c>
      <c r="AJ145" s="203">
        <f>SUM(AF145:AI145)</f>
        <v>6947</v>
      </c>
      <c r="AK145" s="1"/>
      <c r="AL145" s="1"/>
      <c r="AM145" s="1"/>
      <c r="AN145" s="1"/>
      <c r="AO145" s="1"/>
      <c r="AP145" s="1"/>
      <c r="AQ145" s="1"/>
      <c r="AR145" s="1"/>
      <c r="AS145" s="1"/>
      <c r="AT145" s="1"/>
      <c r="AU145" s="352"/>
      <c r="AV145" s="1"/>
      <c r="AW145" s="1"/>
      <c r="AX145" s="1"/>
      <c r="AY145" s="1"/>
      <c r="AZ145" s="1"/>
      <c r="BA145" s="1"/>
      <c r="BB145" s="1"/>
      <c r="BC145" s="1"/>
      <c r="BD145" s="1"/>
      <c r="BE145" s="1"/>
      <c r="BF145" s="1"/>
      <c r="BG145" s="1"/>
      <c r="BH145" s="524"/>
      <c r="BI145" s="524"/>
    </row>
    <row r="146" spans="1:61" ht="12.75">
      <c r="A146" s="178" t="s">
        <v>51</v>
      </c>
      <c r="B146" s="68">
        <v>703.1</v>
      </c>
      <c r="C146" s="68">
        <v>607.1</v>
      </c>
      <c r="D146" s="68">
        <v>640.5</v>
      </c>
      <c r="E146" s="68">
        <v>724.3</v>
      </c>
      <c r="F146" s="55">
        <v>2675</v>
      </c>
      <c r="G146" s="68">
        <v>470.9</v>
      </c>
      <c r="H146" s="68">
        <v>509.8</v>
      </c>
      <c r="I146" s="68">
        <v>579.6</v>
      </c>
      <c r="J146" s="68">
        <v>649.7</v>
      </c>
      <c r="K146" s="55">
        <v>2210</v>
      </c>
      <c r="L146" s="68">
        <v>477</v>
      </c>
      <c r="M146" s="68">
        <v>809</v>
      </c>
      <c r="N146" s="68">
        <v>754</v>
      </c>
      <c r="O146" s="68">
        <v>485</v>
      </c>
      <c r="P146" s="55">
        <v>2525</v>
      </c>
      <c r="Q146" s="68">
        <v>562</v>
      </c>
      <c r="R146" s="68">
        <v>638</v>
      </c>
      <c r="S146" s="68">
        <v>746</v>
      </c>
      <c r="T146" s="68">
        <v>718</v>
      </c>
      <c r="U146" s="55">
        <v>2664</v>
      </c>
      <c r="V146" s="68">
        <v>550</v>
      </c>
      <c r="W146" s="68">
        <v>673</v>
      </c>
      <c r="X146" s="68">
        <v>812</v>
      </c>
      <c r="Y146" s="68">
        <v>716</v>
      </c>
      <c r="Z146" s="203">
        <v>2751</v>
      </c>
      <c r="AA146" s="68">
        <v>598</v>
      </c>
      <c r="AB146" s="68">
        <v>675</v>
      </c>
      <c r="AC146" s="68">
        <v>716</v>
      </c>
      <c r="AD146" s="68">
        <v>762</v>
      </c>
      <c r="AE146" s="203">
        <v>2750</v>
      </c>
      <c r="AF146" s="68">
        <v>588</v>
      </c>
      <c r="AG146" s="68">
        <v>708</v>
      </c>
      <c r="AH146" s="68">
        <v>833</v>
      </c>
      <c r="AI146" s="68">
        <f>786+91.4+1</f>
        <v>878.4</v>
      </c>
      <c r="AJ146" s="203">
        <f>SUM(AF146:AI146)</f>
        <v>3007.4</v>
      </c>
      <c r="AK146" s="68">
        <v>712</v>
      </c>
      <c r="AL146" s="68">
        <v>830</v>
      </c>
      <c r="AM146" s="68">
        <v>890</v>
      </c>
      <c r="AN146" s="68">
        <f>544+316</f>
        <v>860</v>
      </c>
      <c r="AO146" s="203">
        <f>+AK146+AL146+AM146+AN146</f>
        <v>3292</v>
      </c>
      <c r="AP146" s="68">
        <f>505+185</f>
        <v>690</v>
      </c>
      <c r="AQ146" s="68">
        <v>774</v>
      </c>
      <c r="AR146" s="68">
        <f>380+467</f>
        <v>847</v>
      </c>
      <c r="AS146" s="68">
        <v>819</v>
      </c>
      <c r="AT146" s="203">
        <f t="shared" si="19"/>
        <v>3130</v>
      </c>
      <c r="AU146" s="454">
        <f>157+463</f>
        <v>620</v>
      </c>
      <c r="AV146" s="68">
        <v>851</v>
      </c>
      <c r="AW146" s="68">
        <v>851</v>
      </c>
      <c r="AX146" s="68">
        <v>786</v>
      </c>
      <c r="AY146" s="203">
        <v>3108</v>
      </c>
      <c r="AZ146" s="337"/>
      <c r="BA146" s="337"/>
      <c r="BB146" s="337"/>
      <c r="BC146" s="337"/>
      <c r="BD146" s="337"/>
      <c r="BE146" s="337"/>
      <c r="BF146" s="337"/>
      <c r="BG146" s="337"/>
      <c r="BH146" s="528"/>
      <c r="BI146" s="528"/>
    </row>
    <row r="147" spans="1:61" ht="12.75">
      <c r="A147" s="179" t="s">
        <v>58</v>
      </c>
      <c r="B147" s="61">
        <v>1639</v>
      </c>
      <c r="C147" s="61">
        <v>1652</v>
      </c>
      <c r="D147" s="61">
        <v>1838</v>
      </c>
      <c r="E147" s="61">
        <v>1909</v>
      </c>
      <c r="F147" s="42">
        <v>7038</v>
      </c>
      <c r="G147" s="61">
        <v>1534</v>
      </c>
      <c r="H147" s="61">
        <v>1698</v>
      </c>
      <c r="I147" s="61">
        <v>1927</v>
      </c>
      <c r="J147" s="61">
        <v>1781</v>
      </c>
      <c r="K147" s="42">
        <v>6940</v>
      </c>
      <c r="L147" s="61">
        <v>1441</v>
      </c>
      <c r="M147" s="61">
        <v>2742</v>
      </c>
      <c r="N147" s="61">
        <v>3024</v>
      </c>
      <c r="O147" s="61">
        <v>3029</v>
      </c>
      <c r="P147" s="42">
        <v>10236</v>
      </c>
      <c r="Q147" s="61">
        <v>2350</v>
      </c>
      <c r="R147" s="61">
        <v>2860</v>
      </c>
      <c r="S147" s="61">
        <v>3155</v>
      </c>
      <c r="T147" s="61">
        <v>3128</v>
      </c>
      <c r="U147" s="42">
        <v>11493</v>
      </c>
      <c r="V147" s="61">
        <v>2475</v>
      </c>
      <c r="W147" s="61">
        <v>2981</v>
      </c>
      <c r="X147" s="61">
        <v>3178</v>
      </c>
      <c r="Y147" s="61">
        <v>3120</v>
      </c>
      <c r="Z147" s="197">
        <v>11754</v>
      </c>
      <c r="AA147" s="61">
        <v>2638</v>
      </c>
      <c r="AB147" s="61">
        <v>3137</v>
      </c>
      <c r="AC147" s="61">
        <v>3275</v>
      </c>
      <c r="AD147" s="61">
        <v>3040</v>
      </c>
      <c r="AE147" s="197">
        <v>12089</v>
      </c>
      <c r="AF147" s="61">
        <f>+AF141+AF145+AF146</f>
        <v>2754</v>
      </c>
      <c r="AG147" s="61">
        <f>+AG141+AG145+AG146</f>
        <v>3174</v>
      </c>
      <c r="AH147" s="61">
        <f>+AH141+AH145+AH146</f>
        <v>3519</v>
      </c>
      <c r="AI147" s="61">
        <f>SUM(AI141:AI146)</f>
        <v>3647.4</v>
      </c>
      <c r="AJ147" s="197">
        <f>SUM(AF147:AI147)</f>
        <v>13094.4</v>
      </c>
      <c r="AK147" s="61">
        <f>+AK141+AK142+AK143+AK144+AK146</f>
        <v>3467</v>
      </c>
      <c r="AL147" s="61">
        <f>+AL141+AL142+AL143+AL144+AL146</f>
        <v>4024</v>
      </c>
      <c r="AM147" s="61">
        <f>+AM141+AM142+AM143+AM144+AM146</f>
        <v>4047</v>
      </c>
      <c r="AN147" s="61">
        <f>+AN141+AN142+AN143+AN144+AN146</f>
        <v>4016</v>
      </c>
      <c r="AO147" s="197">
        <f>+AK147+AL147+AM147+AN147</f>
        <v>15554</v>
      </c>
      <c r="AP147" s="61">
        <f>+AP141+AP142+AP143+AP144+AP146</f>
        <v>3512</v>
      </c>
      <c r="AQ147" s="61">
        <f>+AQ141+AQ142+AQ143+AQ144+AQ146</f>
        <v>3727</v>
      </c>
      <c r="AR147" s="61">
        <f>SUM(AR141:AR146)</f>
        <v>4037</v>
      </c>
      <c r="AS147" s="61">
        <f>SUM(AS141:AS146)</f>
        <v>3890</v>
      </c>
      <c r="AT147" s="197">
        <f t="shared" si="19"/>
        <v>15166</v>
      </c>
      <c r="AU147" s="455">
        <f>+AU141+AU142+AU143+AU144+AU146</f>
        <v>3244</v>
      </c>
      <c r="AV147" s="61">
        <f>+AV141+AV142+AV143+AV144+AV146</f>
        <v>3833</v>
      </c>
      <c r="AW147" s="61">
        <f>+AW141+AW142+AW143+AW144+AW146</f>
        <v>4142</v>
      </c>
      <c r="AX147" s="61">
        <f>+AX141+AX142+AX143+AX144+AX146</f>
        <v>3939</v>
      </c>
      <c r="AY147" s="197">
        <v>15158</v>
      </c>
      <c r="AZ147" s="338"/>
      <c r="BA147" s="338"/>
      <c r="BB147" s="338"/>
      <c r="BC147" s="338"/>
      <c r="BD147" s="338"/>
      <c r="BE147" s="338"/>
      <c r="BF147" s="338"/>
      <c r="BG147" s="338"/>
      <c r="BH147" s="529"/>
      <c r="BI147" s="529"/>
    </row>
    <row r="148" spans="1:61" ht="12.75">
      <c r="A148" s="178" t="s">
        <v>266</v>
      </c>
      <c r="B148" s="68">
        <v>202.7</v>
      </c>
      <c r="C148" s="68">
        <v>234.3</v>
      </c>
      <c r="D148" s="68">
        <v>266.6</v>
      </c>
      <c r="E148" s="68">
        <v>244.9</v>
      </c>
      <c r="F148" s="55">
        <v>948.5</v>
      </c>
      <c r="G148" s="68">
        <v>224.5</v>
      </c>
      <c r="H148" s="68">
        <v>241.6</v>
      </c>
      <c r="I148" s="68">
        <v>289.2</v>
      </c>
      <c r="J148" s="68">
        <v>254.1</v>
      </c>
      <c r="K148" s="55">
        <v>1009.4</v>
      </c>
      <c r="L148" s="68">
        <v>202.8</v>
      </c>
      <c r="M148" s="68">
        <v>386.7</v>
      </c>
      <c r="N148" s="68">
        <v>408</v>
      </c>
      <c r="O148" s="68">
        <v>387.5</v>
      </c>
      <c r="P148" s="55">
        <v>1385</v>
      </c>
      <c r="Q148" s="68">
        <v>334</v>
      </c>
      <c r="R148" s="68">
        <v>404.4</v>
      </c>
      <c r="S148" s="68">
        <v>438.3</v>
      </c>
      <c r="T148" s="68">
        <v>424.6</v>
      </c>
      <c r="U148" s="55">
        <v>1601.3</v>
      </c>
      <c r="V148" s="68">
        <v>357.5</v>
      </c>
      <c r="W148" s="68">
        <v>475.4</v>
      </c>
      <c r="X148" s="68">
        <v>484.4</v>
      </c>
      <c r="Y148" s="68">
        <v>485.3</v>
      </c>
      <c r="Z148" s="203">
        <v>1802.6</v>
      </c>
      <c r="AA148" s="68">
        <v>430.4</v>
      </c>
      <c r="AB148" s="68">
        <v>502.9</v>
      </c>
      <c r="AC148" s="68">
        <v>504.5</v>
      </c>
      <c r="AD148" s="68">
        <v>516</v>
      </c>
      <c r="AE148" s="203">
        <v>1954</v>
      </c>
      <c r="AF148" s="68">
        <v>432</v>
      </c>
      <c r="AG148" s="68">
        <v>498</v>
      </c>
      <c r="AH148" s="68">
        <v>521</v>
      </c>
      <c r="AI148" s="68">
        <v>547</v>
      </c>
      <c r="AJ148" s="203">
        <f>SUM(AF148:AI148)</f>
        <v>1998</v>
      </c>
      <c r="AK148" s="68">
        <v>514</v>
      </c>
      <c r="AL148" s="68">
        <v>581</v>
      </c>
      <c r="AM148" s="68">
        <v>632</v>
      </c>
      <c r="AN148" s="68">
        <v>592</v>
      </c>
      <c r="AO148" s="203">
        <v>2319</v>
      </c>
      <c r="AP148" s="68">
        <v>521</v>
      </c>
      <c r="AQ148" s="68">
        <v>611</v>
      </c>
      <c r="AR148" s="209">
        <v>645</v>
      </c>
      <c r="AS148" s="68">
        <v>606</v>
      </c>
      <c r="AT148" s="203">
        <f t="shared" si="19"/>
        <v>2383</v>
      </c>
      <c r="AU148" s="454">
        <v>515</v>
      </c>
      <c r="AV148" s="68">
        <v>609</v>
      </c>
      <c r="AW148" s="68">
        <v>637</v>
      </c>
      <c r="AX148" s="68">
        <v>604</v>
      </c>
      <c r="AY148" s="203">
        <v>2365</v>
      </c>
      <c r="AZ148" s="337"/>
      <c r="BA148" s="337"/>
      <c r="BB148" s="337"/>
      <c r="BC148" s="337"/>
      <c r="BD148" s="337"/>
      <c r="BE148" s="337"/>
      <c r="BF148" s="337"/>
      <c r="BG148" s="337"/>
      <c r="BH148" s="528"/>
      <c r="BI148" s="528"/>
    </row>
    <row r="149" spans="1:61" ht="12.75">
      <c r="A149" s="178" t="s">
        <v>267</v>
      </c>
      <c r="B149" s="1"/>
      <c r="C149" s="1"/>
      <c r="D149" s="1"/>
      <c r="E149" s="1"/>
      <c r="F149" s="55"/>
      <c r="G149" s="1"/>
      <c r="H149" s="1"/>
      <c r="I149" s="1"/>
      <c r="J149" s="1"/>
      <c r="K149" s="55"/>
      <c r="L149" s="1"/>
      <c r="M149" s="1"/>
      <c r="N149" s="1"/>
      <c r="O149" s="1"/>
      <c r="P149" s="55">
        <v>1105.071238</v>
      </c>
      <c r="Q149" s="1"/>
      <c r="R149" s="1"/>
      <c r="S149" s="1"/>
      <c r="T149" s="1"/>
      <c r="U149" s="55">
        <v>1274.437</v>
      </c>
      <c r="V149" s="68">
        <v>344.818688</v>
      </c>
      <c r="W149" s="68">
        <v>496.87770659000006</v>
      </c>
      <c r="X149" s="68">
        <v>512.26402241</v>
      </c>
      <c r="Y149" s="68">
        <v>511.9796609999998</v>
      </c>
      <c r="Z149" s="203">
        <v>1865.9400779999999</v>
      </c>
      <c r="AA149" s="68">
        <v>422.66653399999996</v>
      </c>
      <c r="AB149" s="68">
        <v>559.3410054800001</v>
      </c>
      <c r="AC149" s="68">
        <v>602.46118852</v>
      </c>
      <c r="AD149" s="68">
        <v>545</v>
      </c>
      <c r="AE149" s="203">
        <v>2129</v>
      </c>
      <c r="AF149" s="68">
        <v>488</v>
      </c>
      <c r="AG149" s="68">
        <v>577</v>
      </c>
      <c r="AH149" s="68">
        <v>659</v>
      </c>
      <c r="AI149" s="68">
        <v>610</v>
      </c>
      <c r="AJ149" s="203">
        <f>SUM(AF149:AI149)</f>
        <v>2334</v>
      </c>
      <c r="AK149" s="68">
        <v>530</v>
      </c>
      <c r="AL149" s="68">
        <v>640</v>
      </c>
      <c r="AM149" s="68">
        <v>726</v>
      </c>
      <c r="AN149" s="68">
        <v>711</v>
      </c>
      <c r="AO149" s="203">
        <v>2607</v>
      </c>
      <c r="AP149" s="68">
        <v>575</v>
      </c>
      <c r="AQ149" s="68">
        <v>643</v>
      </c>
      <c r="AR149" s="68">
        <v>688</v>
      </c>
      <c r="AS149" s="68">
        <v>682</v>
      </c>
      <c r="AT149" s="203">
        <f t="shared" si="19"/>
        <v>2588</v>
      </c>
      <c r="AU149" s="454">
        <v>518</v>
      </c>
      <c r="AV149" s="68">
        <v>620</v>
      </c>
      <c r="AW149" s="68">
        <v>802</v>
      </c>
      <c r="AX149" s="68">
        <v>778</v>
      </c>
      <c r="AY149" s="203">
        <v>2718</v>
      </c>
      <c r="AZ149" s="337"/>
      <c r="BA149" s="337"/>
      <c r="BB149" s="337"/>
      <c r="BC149" s="337"/>
      <c r="BD149" s="337"/>
      <c r="BE149" s="337"/>
      <c r="BF149" s="337"/>
      <c r="BG149" s="337"/>
      <c r="BH149" s="528"/>
      <c r="BI149" s="528"/>
    </row>
    <row r="150" spans="1:61" ht="12.75">
      <c r="A150" s="179" t="s">
        <v>60</v>
      </c>
      <c r="B150" s="1"/>
      <c r="C150" s="1"/>
      <c r="D150" s="1"/>
      <c r="E150" s="1"/>
      <c r="F150" s="55"/>
      <c r="G150" s="1"/>
      <c r="H150" s="1"/>
      <c r="I150" s="1"/>
      <c r="J150" s="1"/>
      <c r="K150" s="55"/>
      <c r="L150" s="68">
        <v>440.9</v>
      </c>
      <c r="M150" s="68">
        <v>396.4</v>
      </c>
      <c r="N150" s="68">
        <v>433.1</v>
      </c>
      <c r="O150" s="68">
        <v>448.6</v>
      </c>
      <c r="P150" s="55">
        <v>1719</v>
      </c>
      <c r="Q150" s="68">
        <v>482.8</v>
      </c>
      <c r="R150" s="68">
        <v>466.3</v>
      </c>
      <c r="S150" s="68">
        <v>457.1</v>
      </c>
      <c r="T150" s="68">
        <v>496.9</v>
      </c>
      <c r="U150" s="55">
        <v>1903.1</v>
      </c>
      <c r="V150" s="68">
        <v>606.9</v>
      </c>
      <c r="W150" s="68">
        <v>605.8</v>
      </c>
      <c r="X150" s="68">
        <v>618.7</v>
      </c>
      <c r="Y150" s="68">
        <v>683.1</v>
      </c>
      <c r="Z150" s="203">
        <v>2514.5</v>
      </c>
      <c r="AA150" s="68">
        <v>666.4</v>
      </c>
      <c r="AB150" s="68">
        <v>650.7</v>
      </c>
      <c r="AC150" s="68">
        <v>547.2</v>
      </c>
      <c r="AD150" s="68">
        <v>635</v>
      </c>
      <c r="AE150" s="203">
        <v>2500</v>
      </c>
      <c r="AF150" s="68">
        <v>650</v>
      </c>
      <c r="AG150" s="68">
        <v>685</v>
      </c>
      <c r="AH150" s="68">
        <v>656</v>
      </c>
      <c r="AI150" s="68">
        <v>709</v>
      </c>
      <c r="AJ150" s="203">
        <f>+AF150+AG150+AH150+AI150</f>
        <v>2700</v>
      </c>
      <c r="AK150" s="68">
        <v>716</v>
      </c>
      <c r="AL150" s="68">
        <v>593</v>
      </c>
      <c r="AM150" s="68">
        <v>587</v>
      </c>
      <c r="AN150" s="68">
        <v>650</v>
      </c>
      <c r="AO150" s="203">
        <v>2546</v>
      </c>
      <c r="AP150" s="68">
        <v>650</v>
      </c>
      <c r="AQ150" s="68">
        <v>505</v>
      </c>
      <c r="AR150" s="68">
        <v>659</v>
      </c>
      <c r="AS150" s="68">
        <v>674</v>
      </c>
      <c r="AT150" s="203">
        <f t="shared" si="19"/>
        <v>2488</v>
      </c>
      <c r="AU150" s="454">
        <v>678</v>
      </c>
      <c r="AV150" s="68">
        <v>598</v>
      </c>
      <c r="AW150" s="68">
        <v>707</v>
      </c>
      <c r="AX150" s="68">
        <v>622</v>
      </c>
      <c r="AY150" s="203">
        <v>2605</v>
      </c>
      <c r="AZ150" s="337"/>
      <c r="BA150" s="337"/>
      <c r="BB150" s="337"/>
      <c r="BC150" s="337"/>
      <c r="BD150" s="337"/>
      <c r="BE150" s="337"/>
      <c r="BF150" s="337"/>
      <c r="BG150" s="337"/>
      <c r="BH150" s="528"/>
      <c r="BI150" s="528"/>
    </row>
    <row r="151" spans="1:61" ht="12.75">
      <c r="A151" s="32" t="s">
        <v>315</v>
      </c>
      <c r="B151" s="15"/>
      <c r="C151" s="15"/>
      <c r="D151" s="15"/>
      <c r="E151" s="15"/>
      <c r="F151" s="15"/>
      <c r="G151" s="15"/>
      <c r="H151" s="15"/>
      <c r="I151" s="15"/>
      <c r="J151" s="15"/>
      <c r="K151" s="15"/>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459"/>
      <c r="AV151" s="16"/>
      <c r="AW151" s="16"/>
      <c r="AX151" s="16"/>
      <c r="AY151" s="16"/>
      <c r="AZ151" s="2"/>
      <c r="BA151" s="2"/>
      <c r="BB151" s="2"/>
      <c r="BC151" s="2"/>
      <c r="BD151" s="2"/>
      <c r="BE151" s="2"/>
      <c r="BF151" s="2"/>
      <c r="BG151" s="2"/>
      <c r="BH151" s="531"/>
      <c r="BI151" s="531"/>
    </row>
    <row r="152" spans="52:61" ht="12.75">
      <c r="AZ152" s="56"/>
      <c r="BA152" s="56"/>
      <c r="BB152" s="56"/>
      <c r="BC152" s="56"/>
      <c r="BD152" s="56"/>
      <c r="BE152" s="56"/>
      <c r="BF152" s="56"/>
      <c r="BG152" s="56"/>
      <c r="BH152" s="530"/>
      <c r="BI152" s="530"/>
    </row>
    <row r="153" spans="1:61" ht="25.5">
      <c r="A153" s="175" t="s">
        <v>396</v>
      </c>
      <c r="B153" s="58" t="s">
        <v>2</v>
      </c>
      <c r="C153" s="58" t="s">
        <v>3</v>
      </c>
      <c r="D153" s="58" t="s">
        <v>4</v>
      </c>
      <c r="E153" s="58" t="s">
        <v>5</v>
      </c>
      <c r="F153" s="58" t="s">
        <v>6</v>
      </c>
      <c r="G153" s="58" t="s">
        <v>12</v>
      </c>
      <c r="H153" s="58" t="s">
        <v>13</v>
      </c>
      <c r="I153" s="58" t="s">
        <v>14</v>
      </c>
      <c r="J153" s="58" t="s">
        <v>15</v>
      </c>
      <c r="K153" s="58" t="s">
        <v>16</v>
      </c>
      <c r="L153" s="58" t="s">
        <v>17</v>
      </c>
      <c r="M153" s="58" t="s">
        <v>18</v>
      </c>
      <c r="N153" s="58" t="s">
        <v>19</v>
      </c>
      <c r="O153" s="58" t="s">
        <v>20</v>
      </c>
      <c r="P153" s="58" t="s">
        <v>21</v>
      </c>
      <c r="Q153" s="58" t="s">
        <v>22</v>
      </c>
      <c r="R153" s="58" t="s">
        <v>23</v>
      </c>
      <c r="S153" s="58" t="s">
        <v>24</v>
      </c>
      <c r="T153" s="58" t="s">
        <v>25</v>
      </c>
      <c r="U153" s="58" t="s">
        <v>26</v>
      </c>
      <c r="V153" s="175" t="s">
        <v>27</v>
      </c>
      <c r="W153" s="175" t="s">
        <v>28</v>
      </c>
      <c r="X153" s="175" t="s">
        <v>29</v>
      </c>
      <c r="Y153" s="175" t="s">
        <v>30</v>
      </c>
      <c r="Z153" s="175" t="s">
        <v>31</v>
      </c>
      <c r="AA153" s="175" t="s">
        <v>32</v>
      </c>
      <c r="AB153" s="175" t="s">
        <v>33</v>
      </c>
      <c r="AC153" s="175" t="s">
        <v>34</v>
      </c>
      <c r="AD153" s="175" t="s">
        <v>271</v>
      </c>
      <c r="AE153" s="175" t="s">
        <v>272</v>
      </c>
      <c r="AF153" s="175" t="s">
        <v>274</v>
      </c>
      <c r="AG153" s="175" t="s">
        <v>276</v>
      </c>
      <c r="AH153" s="175" t="s">
        <v>278</v>
      </c>
      <c r="AI153" s="175" t="s">
        <v>280</v>
      </c>
      <c r="AJ153" s="175" t="s">
        <v>281</v>
      </c>
      <c r="AK153" s="175" t="s">
        <v>289</v>
      </c>
      <c r="AL153" s="175" t="s">
        <v>290</v>
      </c>
      <c r="AM153" s="175" t="s">
        <v>291</v>
      </c>
      <c r="AN153" s="175" t="s">
        <v>292</v>
      </c>
      <c r="AO153" s="175" t="s">
        <v>293</v>
      </c>
      <c r="AP153" s="175" t="s">
        <v>329</v>
      </c>
      <c r="AQ153" s="175" t="s">
        <v>330</v>
      </c>
      <c r="AR153" s="175" t="s">
        <v>331</v>
      </c>
      <c r="AS153" s="175" t="s">
        <v>332</v>
      </c>
      <c r="AT153" s="175" t="s">
        <v>333</v>
      </c>
      <c r="AU153" s="461" t="s">
        <v>448</v>
      </c>
      <c r="AV153" s="176" t="s">
        <v>451</v>
      </c>
      <c r="AW153" s="176" t="s">
        <v>453</v>
      </c>
      <c r="AX153" s="176" t="s">
        <v>454</v>
      </c>
      <c r="AY153" s="175" t="s">
        <v>457</v>
      </c>
      <c r="AZ153" s="326"/>
      <c r="BA153" s="326"/>
      <c r="BB153" s="326"/>
      <c r="BC153" s="326"/>
      <c r="BD153" s="326"/>
      <c r="BE153" s="326"/>
      <c r="BF153" s="326"/>
      <c r="BG153" s="326"/>
      <c r="BH153" s="527"/>
      <c r="BI153" s="527"/>
    </row>
    <row r="154" spans="1:61" ht="12.75">
      <c r="A154" s="50"/>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18"/>
      <c r="AJ154" s="18"/>
      <c r="AK154" s="19"/>
      <c r="AL154" s="19"/>
      <c r="AM154" s="19"/>
      <c r="AN154" s="18"/>
      <c r="AO154" s="18"/>
      <c r="AP154" s="19"/>
      <c r="AQ154" s="19"/>
      <c r="AR154" s="19"/>
      <c r="AS154" s="18"/>
      <c r="AT154" s="18"/>
      <c r="AU154" s="456"/>
      <c r="AV154" s="19"/>
      <c r="AW154" s="19"/>
      <c r="AX154" s="19"/>
      <c r="AY154" s="18"/>
      <c r="AZ154" s="328"/>
      <c r="BA154" s="328"/>
      <c r="BB154" s="328"/>
      <c r="BC154" s="328"/>
      <c r="BD154" s="328"/>
      <c r="BE154" s="328"/>
      <c r="BF154" s="328"/>
      <c r="BG154" s="328"/>
      <c r="BH154" s="521"/>
      <c r="BI154" s="521"/>
    </row>
    <row r="155" spans="1:61" ht="12.75">
      <c r="A155" s="178" t="s">
        <v>48</v>
      </c>
      <c r="B155" s="59">
        <v>115</v>
      </c>
      <c r="C155" s="59">
        <v>130.9</v>
      </c>
      <c r="D155" s="59">
        <v>152</v>
      </c>
      <c r="E155" s="59">
        <v>131.8</v>
      </c>
      <c r="F155" s="9">
        <v>529.7</v>
      </c>
      <c r="G155" s="59">
        <v>124.4</v>
      </c>
      <c r="H155" s="59">
        <v>133.9</v>
      </c>
      <c r="I155" s="59">
        <v>157.4</v>
      </c>
      <c r="J155" s="59">
        <v>133.3</v>
      </c>
      <c r="K155" s="9">
        <v>549</v>
      </c>
      <c r="L155" s="59">
        <v>106.5</v>
      </c>
      <c r="M155" s="59">
        <v>209.6</v>
      </c>
      <c r="N155" s="59">
        <v>219.1</v>
      </c>
      <c r="O155" s="59">
        <v>204.5</v>
      </c>
      <c r="P155" s="9">
        <v>739.7</v>
      </c>
      <c r="Q155" s="59">
        <v>175.3</v>
      </c>
      <c r="R155" s="59">
        <v>209.6</v>
      </c>
      <c r="S155" s="59">
        <v>224.1</v>
      </c>
      <c r="T155" s="59">
        <v>215.3</v>
      </c>
      <c r="U155" s="9">
        <v>824.3</v>
      </c>
      <c r="V155" s="59">
        <v>175.8</v>
      </c>
      <c r="W155" s="59">
        <v>229.5</v>
      </c>
      <c r="X155" s="59">
        <v>229.5</v>
      </c>
      <c r="Y155" s="59">
        <v>221.5</v>
      </c>
      <c r="Z155" s="174">
        <v>856.3</v>
      </c>
      <c r="AA155" s="59">
        <v>196.2</v>
      </c>
      <c r="AB155" s="59">
        <v>228.5</v>
      </c>
      <c r="AC155" s="59">
        <v>220.6</v>
      </c>
      <c r="AD155" s="59">
        <v>205.4</v>
      </c>
      <c r="AE155" s="174">
        <v>850.7</v>
      </c>
      <c r="AF155" s="59">
        <v>179.1</v>
      </c>
      <c r="AG155" s="59">
        <v>207.5</v>
      </c>
      <c r="AH155" s="59">
        <v>215.5</v>
      </c>
      <c r="AI155" s="59">
        <v>211.5</v>
      </c>
      <c r="AJ155" s="174">
        <f>SUM(AF155:AI155)</f>
        <v>813.6</v>
      </c>
      <c r="AK155" s="59">
        <v>201.1</v>
      </c>
      <c r="AL155" s="59">
        <v>226.8</v>
      </c>
      <c r="AM155" s="59">
        <v>249.5</v>
      </c>
      <c r="AN155" s="59">
        <v>227.1</v>
      </c>
      <c r="AO155" s="174">
        <v>904.5</v>
      </c>
      <c r="AP155" s="59">
        <v>198.5</v>
      </c>
      <c r="AQ155" s="59">
        <v>236.4</v>
      </c>
      <c r="AR155" s="59">
        <v>246.6</v>
      </c>
      <c r="AS155" s="59">
        <v>223.2</v>
      </c>
      <c r="AT155" s="174">
        <f>SUM(AP155:AS155)</f>
        <v>904.7</v>
      </c>
      <c r="AU155" s="353">
        <v>183</v>
      </c>
      <c r="AV155" s="59">
        <v>217.9</v>
      </c>
      <c r="AW155" s="59">
        <v>233.2</v>
      </c>
      <c r="AX155" s="59">
        <v>207.9</v>
      </c>
      <c r="AY155" s="174">
        <v>842</v>
      </c>
      <c r="AZ155" s="320"/>
      <c r="BA155" s="320"/>
      <c r="BB155" s="320"/>
      <c r="BC155" s="320"/>
      <c r="BD155" s="320"/>
      <c r="BE155" s="320"/>
      <c r="BF155" s="320"/>
      <c r="BG155" s="320"/>
      <c r="BH155" s="532"/>
      <c r="BI155" s="532"/>
    </row>
    <row r="156" spans="1:61" ht="12.75">
      <c r="A156" s="178" t="s">
        <v>59</v>
      </c>
      <c r="B156" s="59">
        <v>84.9</v>
      </c>
      <c r="C156" s="59">
        <v>100.3</v>
      </c>
      <c r="D156" s="59">
        <v>110.8</v>
      </c>
      <c r="E156" s="59">
        <v>108.5</v>
      </c>
      <c r="F156" s="9">
        <v>404.5</v>
      </c>
      <c r="G156" s="59">
        <v>96.1</v>
      </c>
      <c r="H156" s="59">
        <v>104</v>
      </c>
      <c r="I156" s="59">
        <v>127.5</v>
      </c>
      <c r="J156" s="59">
        <v>115.2</v>
      </c>
      <c r="K156" s="9">
        <v>442.8</v>
      </c>
      <c r="L156" s="59">
        <v>91.7</v>
      </c>
      <c r="M156" s="59">
        <v>172.5</v>
      </c>
      <c r="N156" s="59">
        <v>183.5</v>
      </c>
      <c r="O156" s="59">
        <v>177.8</v>
      </c>
      <c r="P156" s="9">
        <v>625.5</v>
      </c>
      <c r="Q156" s="59">
        <v>153.5</v>
      </c>
      <c r="R156" s="59">
        <v>189.6</v>
      </c>
      <c r="S156" s="59">
        <v>207.7</v>
      </c>
      <c r="T156" s="59">
        <v>201.4</v>
      </c>
      <c r="U156" s="9">
        <v>752.2</v>
      </c>
      <c r="V156" s="59">
        <v>175.3</v>
      </c>
      <c r="W156" s="59">
        <v>239.1</v>
      </c>
      <c r="X156" s="59">
        <v>247.6</v>
      </c>
      <c r="Y156" s="59">
        <v>255.9</v>
      </c>
      <c r="Z156" s="174">
        <v>918</v>
      </c>
      <c r="AA156" s="59">
        <v>227.8</v>
      </c>
      <c r="AB156" s="59">
        <v>268</v>
      </c>
      <c r="AC156" s="59">
        <v>276.5</v>
      </c>
      <c r="AD156" s="59">
        <v>304</v>
      </c>
      <c r="AE156" s="174">
        <v>1076.3</v>
      </c>
      <c r="AF156" s="59">
        <v>247.7</v>
      </c>
      <c r="AG156" s="59">
        <v>283.5</v>
      </c>
      <c r="AH156" s="59">
        <v>297.5</v>
      </c>
      <c r="AI156" s="59">
        <v>314.2</v>
      </c>
      <c r="AJ156" s="174">
        <f>SUM(AF156:AI156)</f>
        <v>1142.9</v>
      </c>
      <c r="AK156" s="59">
        <v>303.7</v>
      </c>
      <c r="AL156" s="59">
        <v>343.5</v>
      </c>
      <c r="AM156" s="59">
        <v>370</v>
      </c>
      <c r="AN156" s="59">
        <v>353.9</v>
      </c>
      <c r="AO156" s="174">
        <v>1371.1</v>
      </c>
      <c r="AP156" s="59">
        <v>311.7</v>
      </c>
      <c r="AQ156" s="59">
        <v>362.7</v>
      </c>
      <c r="AR156" s="59">
        <v>384.7</v>
      </c>
      <c r="AS156" s="59">
        <v>369.4</v>
      </c>
      <c r="AT156" s="174">
        <f>SUM(AP156:AS156)</f>
        <v>1428.5</v>
      </c>
      <c r="AU156" s="353">
        <v>316.7</v>
      </c>
      <c r="AV156" s="59">
        <v>372</v>
      </c>
      <c r="AW156" s="59">
        <v>400.2</v>
      </c>
      <c r="AX156" s="59">
        <v>382.6</v>
      </c>
      <c r="AY156" s="174">
        <v>1471.5</v>
      </c>
      <c r="AZ156" s="320"/>
      <c r="BA156" s="320"/>
      <c r="BB156" s="320"/>
      <c r="BC156" s="320"/>
      <c r="BD156" s="320"/>
      <c r="BE156" s="320"/>
      <c r="BF156" s="320"/>
      <c r="BG156" s="320"/>
      <c r="BH156" s="532"/>
      <c r="BI156" s="532"/>
    </row>
    <row r="157" spans="1:61" ht="12.75">
      <c r="A157" s="178" t="s">
        <v>51</v>
      </c>
      <c r="B157" s="59">
        <v>2.8</v>
      </c>
      <c r="C157" s="59">
        <v>3.1000000000000085</v>
      </c>
      <c r="D157" s="59">
        <v>3.8000000000000256</v>
      </c>
      <c r="E157" s="59">
        <v>4.599999999999838</v>
      </c>
      <c r="F157" s="9">
        <v>14.299999999999873</v>
      </c>
      <c r="G157" s="59">
        <v>4</v>
      </c>
      <c r="H157" s="59">
        <v>3.6999999999999886</v>
      </c>
      <c r="I157" s="59">
        <v>4.300000000000011</v>
      </c>
      <c r="J157" s="59">
        <v>5.599999999999852</v>
      </c>
      <c r="K157" s="9">
        <v>17.599999999999852</v>
      </c>
      <c r="L157" s="59">
        <v>4.6000000000000085</v>
      </c>
      <c r="M157" s="59">
        <v>4.599999999999994</v>
      </c>
      <c r="N157" s="59">
        <v>5.400000000000006</v>
      </c>
      <c r="O157" s="59">
        <v>5.199999999999989</v>
      </c>
      <c r="P157" s="9">
        <v>19.8</v>
      </c>
      <c r="Q157" s="59">
        <v>5.199999999999989</v>
      </c>
      <c r="R157" s="59">
        <v>5.199999999999989</v>
      </c>
      <c r="S157" s="59">
        <v>6.500000000000028</v>
      </c>
      <c r="T157" s="59">
        <v>7.900000000000006</v>
      </c>
      <c r="U157" s="9">
        <v>24.8</v>
      </c>
      <c r="V157" s="59">
        <v>6.399999999999977</v>
      </c>
      <c r="W157" s="59">
        <v>6.799999999999983</v>
      </c>
      <c r="X157" s="59">
        <v>7.299999999999983</v>
      </c>
      <c r="Y157" s="59">
        <v>8.1</v>
      </c>
      <c r="Z157" s="174">
        <v>28.3</v>
      </c>
      <c r="AA157" s="59">
        <v>6.399999999999977</v>
      </c>
      <c r="AB157" s="59">
        <v>6.399999999999977</v>
      </c>
      <c r="AC157" s="59">
        <v>7.4</v>
      </c>
      <c r="AD157" s="59">
        <v>6.5</v>
      </c>
      <c r="AE157" s="174">
        <v>26.7</v>
      </c>
      <c r="AF157" s="59">
        <v>5.6</v>
      </c>
      <c r="AG157" s="59">
        <v>6.5</v>
      </c>
      <c r="AH157" s="59">
        <v>7.6</v>
      </c>
      <c r="AI157" s="59">
        <v>9.3</v>
      </c>
      <c r="AJ157" s="174">
        <f>SUM(AF157:AI157)</f>
        <v>29</v>
      </c>
      <c r="AK157" s="59">
        <v>9.5</v>
      </c>
      <c r="AL157" s="59">
        <v>10.4</v>
      </c>
      <c r="AM157" s="59">
        <v>12.8</v>
      </c>
      <c r="AN157" s="59">
        <v>10.9</v>
      </c>
      <c r="AO157" s="174">
        <v>43.6</v>
      </c>
      <c r="AP157" s="59">
        <v>10.6</v>
      </c>
      <c r="AQ157" s="59">
        <v>12.2</v>
      </c>
      <c r="AR157" s="59">
        <v>13.7</v>
      </c>
      <c r="AS157" s="59">
        <v>13.1</v>
      </c>
      <c r="AT157" s="174">
        <f>SUM(AP157:AS157)</f>
        <v>49.6</v>
      </c>
      <c r="AU157" s="353">
        <v>15</v>
      </c>
      <c r="AV157" s="59">
        <v>19.4</v>
      </c>
      <c r="AW157" s="59">
        <v>3.7</v>
      </c>
      <c r="AX157" s="59">
        <v>13.6</v>
      </c>
      <c r="AY157" s="174">
        <v>51.7</v>
      </c>
      <c r="AZ157" s="320"/>
      <c r="BA157" s="320"/>
      <c r="BB157" s="320"/>
      <c r="BC157" s="320"/>
      <c r="BD157" s="320"/>
      <c r="BE157" s="320"/>
      <c r="BF157" s="320"/>
      <c r="BG157" s="320"/>
      <c r="BH157" s="532"/>
      <c r="BI157" s="532"/>
    </row>
    <row r="158" spans="1:61" ht="12.75">
      <c r="A158" s="179" t="s">
        <v>61</v>
      </c>
      <c r="B158" s="60">
        <v>202.7</v>
      </c>
      <c r="C158" s="60">
        <v>234.3</v>
      </c>
      <c r="D158" s="60">
        <v>266.6</v>
      </c>
      <c r="E158" s="60">
        <v>244.9</v>
      </c>
      <c r="F158" s="11">
        <v>948.5</v>
      </c>
      <c r="G158" s="60">
        <v>224.5</v>
      </c>
      <c r="H158" s="60">
        <v>241.6</v>
      </c>
      <c r="I158" s="60">
        <v>289.2</v>
      </c>
      <c r="J158" s="60">
        <v>254.1</v>
      </c>
      <c r="K158" s="11">
        <v>1009.4</v>
      </c>
      <c r="L158" s="60">
        <v>202.8</v>
      </c>
      <c r="M158" s="60">
        <v>386.7</v>
      </c>
      <c r="N158" s="60">
        <v>408</v>
      </c>
      <c r="O158" s="60">
        <v>387.5</v>
      </c>
      <c r="P158" s="11">
        <v>1385</v>
      </c>
      <c r="Q158" s="60">
        <v>334</v>
      </c>
      <c r="R158" s="60">
        <v>404.4</v>
      </c>
      <c r="S158" s="60">
        <v>438.3</v>
      </c>
      <c r="T158" s="60">
        <v>424.6</v>
      </c>
      <c r="U158" s="11">
        <v>1601.3</v>
      </c>
      <c r="V158" s="60">
        <v>357.5</v>
      </c>
      <c r="W158" s="60">
        <v>475.4</v>
      </c>
      <c r="X158" s="60">
        <v>484.4</v>
      </c>
      <c r="Y158" s="60">
        <v>485.5</v>
      </c>
      <c r="Z158" s="200">
        <v>1802.6</v>
      </c>
      <c r="AA158" s="60">
        <v>430.4</v>
      </c>
      <c r="AB158" s="60">
        <v>502.9</v>
      </c>
      <c r="AC158" s="60">
        <v>504.5</v>
      </c>
      <c r="AD158" s="60">
        <v>515.9</v>
      </c>
      <c r="AE158" s="200">
        <v>1953.7</v>
      </c>
      <c r="AF158" s="60">
        <f>+AF155+AF156+AF157</f>
        <v>432.4</v>
      </c>
      <c r="AG158" s="60">
        <f>+AG155+AG156+AG157</f>
        <v>497.5</v>
      </c>
      <c r="AH158" s="60">
        <f>+AH155+AH156+AH157</f>
        <v>520.6</v>
      </c>
      <c r="AI158" s="60">
        <f>SUM(AI155:AI157)</f>
        <v>535</v>
      </c>
      <c r="AJ158" s="200">
        <f>SUM(AF158:AI158)</f>
        <v>1985.5</v>
      </c>
      <c r="AK158" s="60">
        <v>514.3</v>
      </c>
      <c r="AL158" s="60">
        <v>580.7</v>
      </c>
      <c r="AM158" s="60">
        <v>632.3</v>
      </c>
      <c r="AN158" s="60">
        <v>591.9</v>
      </c>
      <c r="AO158" s="200">
        <v>2319.2</v>
      </c>
      <c r="AP158" s="60">
        <v>520.8</v>
      </c>
      <c r="AQ158" s="60">
        <v>611.3</v>
      </c>
      <c r="AR158" s="60">
        <f>SUM(AR155:AR157)</f>
        <v>645</v>
      </c>
      <c r="AS158" s="60">
        <v>605.7</v>
      </c>
      <c r="AT158" s="200">
        <f>SUM(AP158:AS158)</f>
        <v>2382.8</v>
      </c>
      <c r="AU158" s="344">
        <f>SUM(AU155:AU157)</f>
        <v>514.7</v>
      </c>
      <c r="AV158" s="60">
        <f>SUM(AV155:AV157)</f>
        <v>609.3</v>
      </c>
      <c r="AW158" s="60">
        <f>SUM(AW155:AW157)</f>
        <v>637.1</v>
      </c>
      <c r="AX158" s="60">
        <f>SUM(AX155:AX157)</f>
        <v>604.1</v>
      </c>
      <c r="AY158" s="200">
        <v>2365.2</v>
      </c>
      <c r="AZ158" s="322"/>
      <c r="BA158" s="322"/>
      <c r="BB158" s="322"/>
      <c r="BC158" s="322"/>
      <c r="BD158" s="322"/>
      <c r="BE158" s="322"/>
      <c r="BF158" s="322"/>
      <c r="BG158" s="322"/>
      <c r="BH158" s="533"/>
      <c r="BI158" s="533"/>
    </row>
    <row r="159" ht="12.75"/>
    <row r="160" ht="12.75">
      <c r="A160" s="36" t="s">
        <v>496</v>
      </c>
    </row>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sheetData>
  <sheetProtection/>
  <printOptions/>
  <pageMargins left="0.75" right="0.75" top="1" bottom="1" header="0.5" footer="0.5"/>
  <pageSetup fitToHeight="1" fitToWidth="1" horizontalDpi="300" verticalDpi="300" orientation="landscape" paperSize="9" scale="27" r:id="rId1"/>
</worksheet>
</file>

<file path=xl/worksheets/sheet8.xml><?xml version="1.0" encoding="utf-8"?>
<worksheet xmlns="http://schemas.openxmlformats.org/spreadsheetml/2006/main" xmlns:r="http://schemas.openxmlformats.org/officeDocument/2006/relationships">
  <sheetPr>
    <tabColor indexed="22"/>
    <pageSetUpPr fitToPage="1"/>
  </sheetPr>
  <dimension ref="A1:AY11"/>
  <sheetViews>
    <sheetView zoomScalePageLayoutView="0" workbookViewId="0" topLeftCell="A1">
      <pane xSplit="1" ySplit="3" topLeftCell="AL4" activePane="bottomRight" state="frozen"/>
      <selection pane="topLeft" activeCell="V51" sqref="V51"/>
      <selection pane="topRight" activeCell="V51" sqref="V51"/>
      <selection pane="bottomLeft" activeCell="V51" sqref="V51"/>
      <selection pane="bottomRight" activeCell="A3" sqref="A3"/>
    </sheetView>
  </sheetViews>
  <sheetFormatPr defaultColWidth="0" defaultRowHeight="12.75" zeroHeight="1" outlineLevelCol="1"/>
  <cols>
    <col min="1" max="1" width="43.7109375" style="23" customWidth="1"/>
    <col min="2" max="21" width="9.140625" style="23" hidden="1" customWidth="1" outlineLevel="1"/>
    <col min="22" max="22" width="9.140625" style="23" customWidth="1" collapsed="1"/>
    <col min="23" max="51" width="9.140625" style="23" customWidth="1"/>
    <col min="52" max="16384" width="0" style="23" hidden="1" customWidth="1"/>
  </cols>
  <sheetData>
    <row r="1" ht="12.75">
      <c r="A1" s="25"/>
    </row>
    <row r="2" ht="12.75"/>
    <row r="3" spans="1:51" ht="25.5">
      <c r="A3" s="30" t="s">
        <v>222</v>
      </c>
      <c r="B3" s="7" t="s">
        <v>2</v>
      </c>
      <c r="C3" s="7" t="s">
        <v>3</v>
      </c>
      <c r="D3" s="7" t="s">
        <v>4</v>
      </c>
      <c r="E3" s="7" t="s">
        <v>5</v>
      </c>
      <c r="F3" s="7" t="s">
        <v>6</v>
      </c>
      <c r="G3" s="7" t="s">
        <v>12</v>
      </c>
      <c r="H3" s="7" t="s">
        <v>13</v>
      </c>
      <c r="I3" s="7" t="s">
        <v>14</v>
      </c>
      <c r="J3" s="7" t="s">
        <v>15</v>
      </c>
      <c r="K3" s="7" t="s">
        <v>16</v>
      </c>
      <c r="L3" s="7" t="s">
        <v>17</v>
      </c>
      <c r="M3" s="7" t="s">
        <v>18</v>
      </c>
      <c r="N3" s="7" t="s">
        <v>19</v>
      </c>
      <c r="O3" s="7" t="s">
        <v>20</v>
      </c>
      <c r="P3" s="7" t="s">
        <v>21</v>
      </c>
      <c r="Q3" s="7" t="s">
        <v>22</v>
      </c>
      <c r="R3" s="7" t="s">
        <v>23</v>
      </c>
      <c r="S3" s="7" t="s">
        <v>24</v>
      </c>
      <c r="T3" s="7" t="s">
        <v>25</v>
      </c>
      <c r="U3" s="7" t="s">
        <v>26</v>
      </c>
      <c r="V3" s="7" t="s">
        <v>27</v>
      </c>
      <c r="W3" s="7" t="s">
        <v>28</v>
      </c>
      <c r="X3" s="7" t="s">
        <v>29</v>
      </c>
      <c r="Y3" s="7" t="s">
        <v>30</v>
      </c>
      <c r="Z3" s="7" t="s">
        <v>31</v>
      </c>
      <c r="AA3" s="7" t="s">
        <v>32</v>
      </c>
      <c r="AB3" s="7" t="s">
        <v>33</v>
      </c>
      <c r="AC3" s="7" t="s">
        <v>34</v>
      </c>
      <c r="AD3" s="7" t="s">
        <v>271</v>
      </c>
      <c r="AE3" s="7" t="s">
        <v>272</v>
      </c>
      <c r="AF3" s="7" t="s">
        <v>274</v>
      </c>
      <c r="AG3" s="7" t="s">
        <v>276</v>
      </c>
      <c r="AH3" s="7" t="s">
        <v>278</v>
      </c>
      <c r="AI3" s="6" t="s">
        <v>280</v>
      </c>
      <c r="AJ3" s="6" t="s">
        <v>281</v>
      </c>
      <c r="AK3" s="7" t="s">
        <v>289</v>
      </c>
      <c r="AL3" s="7" t="s">
        <v>290</v>
      </c>
      <c r="AM3" s="7" t="s">
        <v>291</v>
      </c>
      <c r="AN3" s="6" t="s">
        <v>292</v>
      </c>
      <c r="AO3" s="6" t="s">
        <v>293</v>
      </c>
      <c r="AP3" s="7" t="s">
        <v>329</v>
      </c>
      <c r="AQ3" s="7" t="s">
        <v>330</v>
      </c>
      <c r="AR3" s="7" t="s">
        <v>331</v>
      </c>
      <c r="AS3" s="6" t="s">
        <v>332</v>
      </c>
      <c r="AT3" s="6" t="s">
        <v>333</v>
      </c>
      <c r="AU3" s="7" t="s">
        <v>448</v>
      </c>
      <c r="AV3" s="7" t="s">
        <v>451</v>
      </c>
      <c r="AW3" s="7" t="s">
        <v>453</v>
      </c>
      <c r="AX3" s="7" t="s">
        <v>454</v>
      </c>
      <c r="AY3" s="6" t="s">
        <v>457</v>
      </c>
    </row>
    <row r="4" ht="12.75" customHeight="1"/>
    <row r="5" spans="1:51" s="56" customFormat="1" ht="12.75">
      <c r="A5" s="421" t="s">
        <v>8</v>
      </c>
      <c r="B5" s="223">
        <v>6.288</v>
      </c>
      <c r="C5" s="223">
        <v>0.353</v>
      </c>
      <c r="D5" s="223">
        <v>4.339</v>
      </c>
      <c r="E5" s="223">
        <v>4.55</v>
      </c>
      <c r="F5" s="223">
        <v>15.53</v>
      </c>
      <c r="G5" s="223">
        <v>2.544</v>
      </c>
      <c r="H5" s="223">
        <v>4.905</v>
      </c>
      <c r="I5" s="223">
        <v>5.628</v>
      </c>
      <c r="J5" s="223">
        <v>-0.93</v>
      </c>
      <c r="K5" s="223">
        <v>12.147</v>
      </c>
      <c r="L5" s="223">
        <v>3.445</v>
      </c>
      <c r="M5" s="223">
        <v>6.363</v>
      </c>
      <c r="N5" s="223">
        <v>-1.523</v>
      </c>
      <c r="O5" s="223">
        <v>6.217</v>
      </c>
      <c r="P5" s="223">
        <v>14.502</v>
      </c>
      <c r="Q5" s="223">
        <v>6.556</v>
      </c>
      <c r="R5" s="223">
        <v>6.325</v>
      </c>
      <c r="S5" s="223">
        <v>6.878</v>
      </c>
      <c r="T5" s="223">
        <v>11.334</v>
      </c>
      <c r="U5" s="223">
        <v>31.093</v>
      </c>
      <c r="V5" s="223">
        <v>12.991</v>
      </c>
      <c r="W5" s="223">
        <v>7.422</v>
      </c>
      <c r="X5" s="223">
        <v>4.117</v>
      </c>
      <c r="Y5" s="223">
        <v>8.601</v>
      </c>
      <c r="Z5" s="223">
        <v>33.131</v>
      </c>
      <c r="AA5" s="223">
        <v>8.061</v>
      </c>
      <c r="AB5" s="223">
        <v>8.446</v>
      </c>
      <c r="AC5" s="223">
        <v>10.1</v>
      </c>
      <c r="AD5" s="223">
        <v>15.2</v>
      </c>
      <c r="AE5" s="223">
        <v>41.8</v>
      </c>
      <c r="AF5" s="223">
        <v>17.2</v>
      </c>
      <c r="AG5" s="223">
        <v>17.1</v>
      </c>
      <c r="AH5" s="223">
        <v>16.7</v>
      </c>
      <c r="AI5" s="223">
        <v>9.3</v>
      </c>
      <c r="AJ5" s="223">
        <v>60.3</v>
      </c>
      <c r="AK5" s="223">
        <v>7.4</v>
      </c>
      <c r="AL5" s="223">
        <v>-8.2</v>
      </c>
      <c r="AM5" s="223">
        <v>4.3</v>
      </c>
      <c r="AN5" s="223">
        <v>8.5</v>
      </c>
      <c r="AO5" s="223">
        <v>12.1</v>
      </c>
      <c r="AP5" s="223">
        <v>1</v>
      </c>
      <c r="AQ5" s="223">
        <v>-4.6</v>
      </c>
      <c r="AR5" s="223">
        <v>6.1</v>
      </c>
      <c r="AS5" s="223">
        <v>0.5</v>
      </c>
      <c r="AT5" s="223">
        <v>3</v>
      </c>
      <c r="AU5" s="223">
        <v>2.1</v>
      </c>
      <c r="AV5" s="223">
        <v>6</v>
      </c>
      <c r="AW5" s="223">
        <v>10.6</v>
      </c>
      <c r="AX5" s="223">
        <v>0.4</v>
      </c>
      <c r="AY5" s="223">
        <v>19.1</v>
      </c>
    </row>
    <row r="6" spans="1:51" s="423" customFormat="1" ht="12.75">
      <c r="A6" s="422" t="s">
        <v>35</v>
      </c>
      <c r="B6" s="221">
        <v>2.912</v>
      </c>
      <c r="C6" s="221">
        <v>-1.856</v>
      </c>
      <c r="D6" s="221">
        <v>1.676</v>
      </c>
      <c r="E6" s="221">
        <v>2.253</v>
      </c>
      <c r="F6" s="221">
        <v>4.985</v>
      </c>
      <c r="G6" s="221">
        <v>0.238</v>
      </c>
      <c r="H6" s="221">
        <v>2.944</v>
      </c>
      <c r="I6" s="221">
        <v>3.318</v>
      </c>
      <c r="J6" s="221">
        <v>-3.392</v>
      </c>
      <c r="K6" s="221">
        <v>3.108</v>
      </c>
      <c r="L6" s="221">
        <v>1.267</v>
      </c>
      <c r="M6" s="221">
        <v>3.554</v>
      </c>
      <c r="N6" s="221">
        <v>-4.752</v>
      </c>
      <c r="O6" s="221">
        <v>1.218</v>
      </c>
      <c r="P6" s="221">
        <v>1.287</v>
      </c>
      <c r="Q6" s="221">
        <v>3.756</v>
      </c>
      <c r="R6" s="221">
        <v>3.376</v>
      </c>
      <c r="S6" s="221">
        <v>3.899</v>
      </c>
      <c r="T6" s="221">
        <v>7.77</v>
      </c>
      <c r="U6" s="221">
        <v>18.801</v>
      </c>
      <c r="V6" s="221">
        <v>9.633</v>
      </c>
      <c r="W6" s="221">
        <v>3.684</v>
      </c>
      <c r="X6" s="221">
        <v>0.166</v>
      </c>
      <c r="Y6" s="221">
        <v>5.631</v>
      </c>
      <c r="Z6" s="221">
        <v>19.114</v>
      </c>
      <c r="AA6" s="221">
        <v>3.653</v>
      </c>
      <c r="AB6" s="221">
        <v>3.919</v>
      </c>
      <c r="AC6" s="221">
        <v>5.5</v>
      </c>
      <c r="AD6" s="221">
        <v>10.3</v>
      </c>
      <c r="AE6" s="221">
        <v>23.3</v>
      </c>
      <c r="AF6" s="221">
        <v>12.6</v>
      </c>
      <c r="AG6" s="221">
        <v>12.2</v>
      </c>
      <c r="AH6" s="221">
        <v>11.9</v>
      </c>
      <c r="AI6" s="221">
        <v>4.1</v>
      </c>
      <c r="AJ6" s="221">
        <v>40.9</v>
      </c>
      <c r="AK6" s="221">
        <v>2.6</v>
      </c>
      <c r="AL6" s="221">
        <v>-13.7</v>
      </c>
      <c r="AM6" s="221">
        <v>-0.2</v>
      </c>
      <c r="AN6" s="221">
        <v>3.7</v>
      </c>
      <c r="AO6" s="221">
        <v>-7.6</v>
      </c>
      <c r="AP6" s="221">
        <v>-3.7</v>
      </c>
      <c r="AQ6" s="221">
        <v>-9.3</v>
      </c>
      <c r="AR6" s="221">
        <v>1.4</v>
      </c>
      <c r="AS6" s="221">
        <v>-3.6</v>
      </c>
      <c r="AT6" s="221">
        <v>-15.3</v>
      </c>
      <c r="AU6" s="221">
        <v>-2.2</v>
      </c>
      <c r="AV6" s="221">
        <v>1.6</v>
      </c>
      <c r="AW6" s="221">
        <v>6</v>
      </c>
      <c r="AX6" s="221">
        <v>-4.2</v>
      </c>
      <c r="AY6" s="221">
        <v>1.2</v>
      </c>
    </row>
    <row r="7" spans="1:51" s="56" customFormat="1" ht="14.25">
      <c r="A7" s="421" t="s">
        <v>311</v>
      </c>
      <c r="B7" s="223">
        <v>0.1</v>
      </c>
      <c r="C7" s="223">
        <v>1.6</v>
      </c>
      <c r="D7" s="223">
        <v>2.8</v>
      </c>
      <c r="E7" s="223">
        <v>2.2</v>
      </c>
      <c r="F7" s="223">
        <v>6.7</v>
      </c>
      <c r="G7" s="223">
        <v>0</v>
      </c>
      <c r="H7" s="223">
        <v>4.3</v>
      </c>
      <c r="I7" s="223">
        <v>5.9</v>
      </c>
      <c r="J7" s="223">
        <v>11.7</v>
      </c>
      <c r="K7" s="223">
        <v>21.9</v>
      </c>
      <c r="L7" s="223">
        <v>5.8</v>
      </c>
      <c r="M7" s="223">
        <v>12.3</v>
      </c>
      <c r="N7" s="223">
        <v>24</v>
      </c>
      <c r="O7" s="223">
        <v>22.5</v>
      </c>
      <c r="P7" s="223">
        <v>64.6</v>
      </c>
      <c r="Q7" s="223">
        <v>14.7</v>
      </c>
      <c r="R7" s="223">
        <v>23</v>
      </c>
      <c r="S7" s="223">
        <v>9</v>
      </c>
      <c r="T7" s="223">
        <v>10.8</v>
      </c>
      <c r="U7" s="223">
        <v>57.5</v>
      </c>
      <c r="V7" s="223">
        <v>1.1</v>
      </c>
      <c r="W7" s="223">
        <v>-0.1</v>
      </c>
      <c r="X7" s="223">
        <v>5.4</v>
      </c>
      <c r="Y7" s="223">
        <v>4.7</v>
      </c>
      <c r="Z7" s="223">
        <v>11.1</v>
      </c>
      <c r="AA7" s="223">
        <v>0.6</v>
      </c>
      <c r="AB7" s="223">
        <v>2.1</v>
      </c>
      <c r="AC7" s="223">
        <v>2.8</v>
      </c>
      <c r="AD7" s="223">
        <v>3.3</v>
      </c>
      <c r="AE7" s="223">
        <v>8.9</v>
      </c>
      <c r="AF7" s="223">
        <v>0.4</v>
      </c>
      <c r="AG7" s="223">
        <v>0.8</v>
      </c>
      <c r="AH7" s="223">
        <v>2.3</v>
      </c>
      <c r="AI7" s="223">
        <v>3.5</v>
      </c>
      <c r="AJ7" s="223">
        <f>+AF7+AG7+AH7+AI7</f>
        <v>7</v>
      </c>
      <c r="AK7" s="223">
        <v>0.9</v>
      </c>
      <c r="AL7" s="223">
        <v>2.5</v>
      </c>
      <c r="AM7" s="223">
        <v>1.8</v>
      </c>
      <c r="AN7" s="223">
        <v>5.1</v>
      </c>
      <c r="AO7" s="223">
        <v>10.2</v>
      </c>
      <c r="AP7" s="223">
        <v>3.4</v>
      </c>
      <c r="AQ7" s="223">
        <v>6.3</v>
      </c>
      <c r="AR7" s="223">
        <v>4.3</v>
      </c>
      <c r="AS7" s="223">
        <v>2.7</v>
      </c>
      <c r="AT7" s="223">
        <v>16.7</v>
      </c>
      <c r="AU7" s="223">
        <v>1.6</v>
      </c>
      <c r="AV7" s="223">
        <v>4.7</v>
      </c>
      <c r="AW7" s="223">
        <v>1.1</v>
      </c>
      <c r="AX7" s="223">
        <v>2.3</v>
      </c>
      <c r="AY7" s="223">
        <v>9.8</v>
      </c>
    </row>
    <row r="8" spans="1:29" ht="12.75">
      <c r="A8" s="27"/>
      <c r="B8" s="3"/>
      <c r="C8" s="3"/>
      <c r="D8" s="3"/>
      <c r="E8" s="3"/>
      <c r="F8" s="3"/>
      <c r="G8" s="3"/>
      <c r="H8" s="3"/>
      <c r="I8" s="3"/>
      <c r="J8" s="3"/>
      <c r="K8" s="3"/>
      <c r="L8" s="3"/>
      <c r="M8" s="3"/>
      <c r="N8" s="3"/>
      <c r="O8" s="3"/>
      <c r="P8" s="3"/>
      <c r="Q8" s="3"/>
      <c r="R8" s="3"/>
      <c r="S8" s="3"/>
      <c r="T8" s="3"/>
      <c r="U8" s="3"/>
      <c r="V8" s="3"/>
      <c r="W8" s="3"/>
      <c r="X8" s="3"/>
      <c r="Y8" s="3"/>
      <c r="Z8" s="3"/>
      <c r="AA8" s="3"/>
      <c r="AB8" s="3"/>
      <c r="AC8" s="3"/>
    </row>
    <row r="9" ht="27">
      <c r="A9" s="28" t="s">
        <v>312</v>
      </c>
    </row>
    <row r="10" ht="12.75"/>
    <row r="11" ht="12.75">
      <c r="A11" s="36"/>
    </row>
  </sheetData>
  <sheetProtection/>
  <printOptions/>
  <pageMargins left="0.75" right="0.75" top="1" bottom="1" header="0.5" footer="0.5"/>
  <pageSetup fitToHeight="1" fitToWidth="1" horizontalDpi="300" verticalDpi="300" orientation="landscape" paperSize="9" scale="44"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BU21"/>
  <sheetViews>
    <sheetView zoomScalePageLayoutView="0" workbookViewId="0" topLeftCell="A1">
      <pane xSplit="1" topLeftCell="BJ1" activePane="topRight" state="frozen"/>
      <selection pane="topLeft" activeCell="V51" sqref="V51"/>
      <selection pane="topRight" activeCell="A3" sqref="A3"/>
    </sheetView>
  </sheetViews>
  <sheetFormatPr defaultColWidth="9.140625" defaultRowHeight="12.75" outlineLevelCol="1"/>
  <cols>
    <col min="1" max="1" width="50.421875" style="23" customWidth="1"/>
    <col min="2" max="21" width="9.140625" style="23" hidden="1" customWidth="1" outlineLevel="1"/>
    <col min="22" max="22" width="9.140625" style="23" customWidth="1" collapsed="1"/>
    <col min="23" max="51" width="9.140625" style="23" customWidth="1"/>
    <col min="52" max="52" width="10.7109375" style="341" customWidth="1"/>
    <col min="53" max="54" width="10.7109375" style="23" customWidth="1"/>
    <col min="55" max="55" width="10.8515625" style="23" customWidth="1"/>
    <col min="56" max="57" width="12.00390625" style="23" customWidth="1"/>
    <col min="58" max="58" width="12.7109375" style="23" customWidth="1"/>
    <col min="59" max="59" width="9.140625" style="23" customWidth="1"/>
    <col min="60" max="60" width="12.421875" style="23" bestFit="1" customWidth="1"/>
    <col min="61" max="61" width="9.140625" style="23" customWidth="1"/>
    <col min="62" max="62" width="12.421875" style="23" bestFit="1" customWidth="1"/>
    <col min="63" max="63" width="9.140625" style="23" customWidth="1"/>
    <col min="64" max="64" width="12.421875" style="23" customWidth="1"/>
    <col min="65" max="65" width="9.140625" style="23" customWidth="1"/>
    <col min="66" max="66" width="12.421875" style="23" bestFit="1" customWidth="1"/>
    <col min="67" max="67" width="9.140625" style="23" customWidth="1"/>
    <col min="68" max="68" width="12.421875" style="23" bestFit="1" customWidth="1"/>
    <col min="69" max="16384" width="9.140625" style="23" customWidth="1"/>
  </cols>
  <sheetData>
    <row r="1" ht="12.75">
      <c r="A1" s="25"/>
    </row>
    <row r="2" ht="12.75">
      <c r="A2" s="23" t="s">
        <v>132</v>
      </c>
    </row>
    <row r="3" spans="1:73" ht="25.5">
      <c r="A3" s="30" t="s">
        <v>223</v>
      </c>
      <c r="B3" s="7" t="s">
        <v>2</v>
      </c>
      <c r="C3" s="7" t="s">
        <v>3</v>
      </c>
      <c r="D3" s="7" t="s">
        <v>4</v>
      </c>
      <c r="E3" s="6" t="s">
        <v>5</v>
      </c>
      <c r="F3" s="6" t="s">
        <v>6</v>
      </c>
      <c r="G3" s="7" t="s">
        <v>12</v>
      </c>
      <c r="H3" s="7" t="s">
        <v>13</v>
      </c>
      <c r="I3" s="7" t="s">
        <v>14</v>
      </c>
      <c r="J3" s="6" t="s">
        <v>15</v>
      </c>
      <c r="K3" s="6" t="s">
        <v>16</v>
      </c>
      <c r="L3" s="7" t="s">
        <v>17</v>
      </c>
      <c r="M3" s="7" t="s">
        <v>18</v>
      </c>
      <c r="N3" s="7" t="s">
        <v>19</v>
      </c>
      <c r="O3" s="6" t="s">
        <v>20</v>
      </c>
      <c r="P3" s="6" t="s">
        <v>21</v>
      </c>
      <c r="Q3" s="7" t="s">
        <v>22</v>
      </c>
      <c r="R3" s="7" t="s">
        <v>23</v>
      </c>
      <c r="S3" s="7" t="s">
        <v>24</v>
      </c>
      <c r="T3" s="6" t="s">
        <v>25</v>
      </c>
      <c r="U3" s="6" t="s">
        <v>26</v>
      </c>
      <c r="V3" s="7" t="s">
        <v>27</v>
      </c>
      <c r="W3" s="7" t="s">
        <v>28</v>
      </c>
      <c r="X3" s="7" t="s">
        <v>29</v>
      </c>
      <c r="Y3" s="6" t="s">
        <v>30</v>
      </c>
      <c r="Z3" s="6" t="s">
        <v>31</v>
      </c>
      <c r="AA3" s="7" t="s">
        <v>32</v>
      </c>
      <c r="AB3" s="7" t="s">
        <v>33</v>
      </c>
      <c r="AC3" s="7" t="s">
        <v>34</v>
      </c>
      <c r="AD3" s="6" t="s">
        <v>271</v>
      </c>
      <c r="AE3" s="6" t="s">
        <v>272</v>
      </c>
      <c r="AF3" s="7" t="s">
        <v>274</v>
      </c>
      <c r="AG3" s="7" t="s">
        <v>276</v>
      </c>
      <c r="AH3" s="7" t="s">
        <v>278</v>
      </c>
      <c r="AI3" s="6" t="s">
        <v>280</v>
      </c>
      <c r="AJ3" s="6" t="s">
        <v>281</v>
      </c>
      <c r="AK3" s="7" t="s">
        <v>289</v>
      </c>
      <c r="AL3" s="7" t="s">
        <v>290</v>
      </c>
      <c r="AM3" s="7" t="s">
        <v>291</v>
      </c>
      <c r="AN3" s="6" t="s">
        <v>292</v>
      </c>
      <c r="AO3" s="6" t="s">
        <v>293</v>
      </c>
      <c r="AP3" s="7" t="s">
        <v>329</v>
      </c>
      <c r="AQ3" s="7" t="s">
        <v>330</v>
      </c>
      <c r="AR3" s="7" t="s">
        <v>331</v>
      </c>
      <c r="AS3" s="6" t="s">
        <v>332</v>
      </c>
      <c r="AT3" s="6" t="s">
        <v>333</v>
      </c>
      <c r="AU3" s="7" t="s">
        <v>448</v>
      </c>
      <c r="AV3" s="7" t="s">
        <v>451</v>
      </c>
      <c r="AW3" s="7" t="s">
        <v>453</v>
      </c>
      <c r="AX3" s="7" t="s">
        <v>454</v>
      </c>
      <c r="AY3" s="6" t="s">
        <v>457</v>
      </c>
      <c r="AZ3" s="342" t="s">
        <v>492</v>
      </c>
      <c r="BA3" s="7" t="s">
        <v>553</v>
      </c>
      <c r="BB3" s="7" t="s">
        <v>560</v>
      </c>
      <c r="BC3" s="7" t="s">
        <v>493</v>
      </c>
      <c r="BD3" s="7" t="s">
        <v>582</v>
      </c>
      <c r="BE3" s="7" t="s">
        <v>494</v>
      </c>
      <c r="BF3" s="7" t="s">
        <v>573</v>
      </c>
      <c r="BG3" s="7" t="s">
        <v>495</v>
      </c>
      <c r="BH3" s="7" t="s">
        <v>598</v>
      </c>
      <c r="BI3" s="7" t="s">
        <v>554</v>
      </c>
      <c r="BJ3" s="7" t="s">
        <v>614</v>
      </c>
      <c r="BK3" s="7" t="s">
        <v>561</v>
      </c>
      <c r="BL3" s="7" t="s">
        <v>572</v>
      </c>
      <c r="BM3" s="7" t="s">
        <v>570</v>
      </c>
      <c r="BN3" s="7" t="s">
        <v>596</v>
      </c>
      <c r="BO3" s="7" t="s">
        <v>574</v>
      </c>
      <c r="BP3" s="7" t="s">
        <v>597</v>
      </c>
      <c r="BQ3" s="7" t="s">
        <v>595</v>
      </c>
      <c r="BR3" s="7" t="s">
        <v>605</v>
      </c>
      <c r="BS3" s="7" t="s">
        <v>617</v>
      </c>
      <c r="BT3" s="7" t="s">
        <v>619</v>
      </c>
      <c r="BU3" s="7" t="s">
        <v>620</v>
      </c>
    </row>
    <row r="4" ht="12.75" customHeight="1"/>
    <row r="5" spans="1:73" ht="12.75">
      <c r="A5" s="31" t="s">
        <v>8</v>
      </c>
      <c r="B5" s="59">
        <v>-38.697</v>
      </c>
      <c r="C5" s="59">
        <v>-36.363</v>
      </c>
      <c r="D5" s="59">
        <v>-21.81</v>
      </c>
      <c r="E5" s="59">
        <v>-12.207</v>
      </c>
      <c r="F5" s="86">
        <v>-109.077</v>
      </c>
      <c r="G5" s="59">
        <v>-3.994</v>
      </c>
      <c r="H5" s="59">
        <v>5.58</v>
      </c>
      <c r="I5" s="59">
        <v>7.438</v>
      </c>
      <c r="J5" s="59">
        <v>2.441</v>
      </c>
      <c r="K5" s="86">
        <v>11.465</v>
      </c>
      <c r="L5" s="59">
        <v>0.667</v>
      </c>
      <c r="M5" s="59">
        <v>-6.97</v>
      </c>
      <c r="N5" s="59">
        <v>18.225</v>
      </c>
      <c r="O5" s="59">
        <v>6.532</v>
      </c>
      <c r="P5" s="86">
        <v>18.454</v>
      </c>
      <c r="Q5" s="59">
        <v>23.224</v>
      </c>
      <c r="R5" s="59">
        <v>13.677</v>
      </c>
      <c r="S5" s="59">
        <v>14.247</v>
      </c>
      <c r="T5" s="59">
        <v>20.287</v>
      </c>
      <c r="U5" s="86">
        <v>71.435</v>
      </c>
      <c r="V5" s="59">
        <v>32.004</v>
      </c>
      <c r="W5" s="59">
        <v>13.558</v>
      </c>
      <c r="X5" s="59">
        <v>11.482</v>
      </c>
      <c r="Y5" s="59">
        <v>0.216</v>
      </c>
      <c r="Z5" s="86">
        <v>57.26</v>
      </c>
      <c r="AA5" s="59">
        <v>88.142</v>
      </c>
      <c r="AB5" s="59">
        <v>11.022</v>
      </c>
      <c r="AC5" s="59">
        <v>7.1</v>
      </c>
      <c r="AD5" s="59">
        <v>10.1</v>
      </c>
      <c r="AE5" s="86">
        <v>116.4</v>
      </c>
      <c r="AF5" s="59">
        <v>14.5</v>
      </c>
      <c r="AG5" s="59">
        <v>10.1</v>
      </c>
      <c r="AH5" s="59">
        <v>10.2</v>
      </c>
      <c r="AI5" s="59">
        <v>11.4</v>
      </c>
      <c r="AJ5" s="86">
        <v>46.2</v>
      </c>
      <c r="AK5" s="59">
        <v>13.4</v>
      </c>
      <c r="AL5" s="59">
        <v>10.799</v>
      </c>
      <c r="AM5" s="59">
        <v>10.432</v>
      </c>
      <c r="AN5" s="59">
        <v>13.8</v>
      </c>
      <c r="AO5" s="86">
        <v>48.4</v>
      </c>
      <c r="AP5" s="59">
        <v>20.7</v>
      </c>
      <c r="AQ5" s="59">
        <v>14.2</v>
      </c>
      <c r="AR5" s="59">
        <v>19.4</v>
      </c>
      <c r="AS5" s="59">
        <v>21.1</v>
      </c>
      <c r="AT5" s="86">
        <v>75.4</v>
      </c>
      <c r="AU5" s="59">
        <v>30.2</v>
      </c>
      <c r="AV5" s="59">
        <v>26.076999999999998</v>
      </c>
      <c r="AW5" s="59">
        <v>10.4</v>
      </c>
      <c r="AX5" s="59">
        <v>20.4</v>
      </c>
      <c r="AY5" s="86">
        <v>87.1</v>
      </c>
      <c r="AZ5" s="353">
        <v>17.117</v>
      </c>
      <c r="BA5" s="59">
        <v>22.5</v>
      </c>
      <c r="BB5" s="59">
        <v>9.2</v>
      </c>
      <c r="BC5" s="59">
        <v>17.85</v>
      </c>
      <c r="BD5" s="59">
        <v>18</v>
      </c>
      <c r="BE5" s="86">
        <v>66.685</v>
      </c>
      <c r="BF5" s="86">
        <v>67.3</v>
      </c>
      <c r="BG5" s="59">
        <v>23.128</v>
      </c>
      <c r="BH5" s="59">
        <v>23.2</v>
      </c>
      <c r="BI5" s="59">
        <v>18.9</v>
      </c>
      <c r="BJ5" s="59"/>
      <c r="BK5" s="59">
        <v>20.4</v>
      </c>
      <c r="BL5" s="59">
        <v>20.4</v>
      </c>
      <c r="BM5" s="59">
        <v>18.8</v>
      </c>
      <c r="BN5" s="59">
        <v>19.2</v>
      </c>
      <c r="BO5" s="86">
        <v>81.5</v>
      </c>
      <c r="BP5" s="86">
        <v>81.8</v>
      </c>
      <c r="BQ5" s="59">
        <v>17.7</v>
      </c>
      <c r="BR5" s="59">
        <v>13.5</v>
      </c>
      <c r="BS5" s="59">
        <v>17.9</v>
      </c>
      <c r="BT5" s="59">
        <v>9.1</v>
      </c>
      <c r="BU5" s="86">
        <v>58.1</v>
      </c>
    </row>
    <row r="6" spans="1:73" s="24" customFormat="1" ht="12.75">
      <c r="A6" s="29" t="s">
        <v>246</v>
      </c>
      <c r="B6" s="60">
        <v>-41.441</v>
      </c>
      <c r="C6" s="60">
        <v>-38.916</v>
      </c>
      <c r="D6" s="60">
        <v>-24.702</v>
      </c>
      <c r="E6" s="60">
        <v>-17.111</v>
      </c>
      <c r="F6" s="87">
        <v>-122.17</v>
      </c>
      <c r="G6" s="60">
        <v>-6.669</v>
      </c>
      <c r="H6" s="60">
        <v>2.887</v>
      </c>
      <c r="I6" s="60">
        <v>4.712</v>
      </c>
      <c r="J6" s="60">
        <v>-0.735</v>
      </c>
      <c r="K6" s="87">
        <v>0.195</v>
      </c>
      <c r="L6" s="60">
        <v>-2.323</v>
      </c>
      <c r="M6" s="60">
        <v>-9.652</v>
      </c>
      <c r="N6" s="60">
        <v>15.685</v>
      </c>
      <c r="O6" s="60">
        <v>3.817</v>
      </c>
      <c r="P6" s="87">
        <v>7.527</v>
      </c>
      <c r="Q6" s="60">
        <v>20.93</v>
      </c>
      <c r="R6" s="60">
        <v>13.07</v>
      </c>
      <c r="S6" s="60">
        <v>12.887</v>
      </c>
      <c r="T6" s="60">
        <v>17.954</v>
      </c>
      <c r="U6" s="87">
        <v>64.841</v>
      </c>
      <c r="V6" s="60">
        <v>30.471</v>
      </c>
      <c r="W6" s="60">
        <v>11.99</v>
      </c>
      <c r="X6" s="60">
        <v>9.834</v>
      </c>
      <c r="Y6" s="60">
        <v>-1.88</v>
      </c>
      <c r="Z6" s="87">
        <v>50.415</v>
      </c>
      <c r="AA6" s="60">
        <v>86.173</v>
      </c>
      <c r="AB6" s="60">
        <v>9.684</v>
      </c>
      <c r="AC6" s="60">
        <v>5.5</v>
      </c>
      <c r="AD6" s="60">
        <v>8.3</v>
      </c>
      <c r="AE6" s="87">
        <v>109.6</v>
      </c>
      <c r="AF6" s="60">
        <v>12.8</v>
      </c>
      <c r="AG6" s="60">
        <v>8.3</v>
      </c>
      <c r="AH6" s="60">
        <v>8.5</v>
      </c>
      <c r="AI6" s="60">
        <v>9.1</v>
      </c>
      <c r="AJ6" s="87">
        <v>38.7</v>
      </c>
      <c r="AK6" s="60">
        <v>11.3</v>
      </c>
      <c r="AL6" s="60">
        <v>8.596</v>
      </c>
      <c r="AM6" s="60">
        <v>7.941</v>
      </c>
      <c r="AN6" s="60">
        <v>10.7</v>
      </c>
      <c r="AO6" s="87">
        <v>38.5</v>
      </c>
      <c r="AP6" s="60">
        <v>18.2</v>
      </c>
      <c r="AQ6" s="60">
        <v>11.6</v>
      </c>
      <c r="AR6" s="60">
        <v>16.6</v>
      </c>
      <c r="AS6" s="60">
        <v>15.5</v>
      </c>
      <c r="AT6" s="87">
        <v>61.9</v>
      </c>
      <c r="AU6" s="60">
        <v>25.3</v>
      </c>
      <c r="AV6" s="60">
        <v>20.654</v>
      </c>
      <c r="AW6" s="60">
        <v>5.6</v>
      </c>
      <c r="AX6" s="60">
        <v>15.7</v>
      </c>
      <c r="AY6" s="87">
        <v>67.2</v>
      </c>
      <c r="AZ6" s="344">
        <v>12.569</v>
      </c>
      <c r="BA6" s="60">
        <v>17.3</v>
      </c>
      <c r="BB6" s="60">
        <v>4.6</v>
      </c>
      <c r="BC6" s="60">
        <v>13.279</v>
      </c>
      <c r="BD6" s="60">
        <v>13.4</v>
      </c>
      <c r="BE6" s="87">
        <v>47.792</v>
      </c>
      <c r="BF6" s="87">
        <v>48.4</v>
      </c>
      <c r="BG6" s="60">
        <v>18.502</v>
      </c>
      <c r="BH6" s="60">
        <v>18.6</v>
      </c>
      <c r="BI6" s="60">
        <v>14.5</v>
      </c>
      <c r="BJ6" s="60"/>
      <c r="BK6" s="60">
        <v>15.9</v>
      </c>
      <c r="BL6" s="60">
        <v>16</v>
      </c>
      <c r="BM6" s="60">
        <v>12.3</v>
      </c>
      <c r="BN6" s="60">
        <v>12.6</v>
      </c>
      <c r="BO6" s="87">
        <v>61.6</v>
      </c>
      <c r="BP6" s="87">
        <v>61.9</v>
      </c>
      <c r="BQ6" s="60">
        <v>12.4</v>
      </c>
      <c r="BR6" s="60">
        <v>8</v>
      </c>
      <c r="BS6" s="60">
        <v>12.6</v>
      </c>
      <c r="BT6" s="60">
        <v>2.8</v>
      </c>
      <c r="BU6" s="87">
        <v>35.8</v>
      </c>
    </row>
    <row r="7" spans="1:73" ht="14.25">
      <c r="A7" s="31" t="s">
        <v>311</v>
      </c>
      <c r="B7" s="59">
        <v>0.3</v>
      </c>
      <c r="C7" s="59">
        <v>0.9</v>
      </c>
      <c r="D7" s="59">
        <v>1.4</v>
      </c>
      <c r="E7" s="59">
        <v>3</v>
      </c>
      <c r="F7" s="86">
        <v>5.6</v>
      </c>
      <c r="G7" s="59">
        <v>0.6</v>
      </c>
      <c r="H7" s="59">
        <v>1.8</v>
      </c>
      <c r="I7" s="59">
        <v>2</v>
      </c>
      <c r="J7" s="59">
        <v>4.6</v>
      </c>
      <c r="K7" s="86">
        <v>9</v>
      </c>
      <c r="L7" s="59">
        <v>0.3</v>
      </c>
      <c r="M7" s="59">
        <v>1.7</v>
      </c>
      <c r="N7" s="59">
        <v>2.8</v>
      </c>
      <c r="O7" s="59">
        <v>6.3</v>
      </c>
      <c r="P7" s="86">
        <v>11.1</v>
      </c>
      <c r="Q7" s="59">
        <v>0.2</v>
      </c>
      <c r="R7" s="59">
        <v>0.8</v>
      </c>
      <c r="S7" s="59">
        <v>2.5</v>
      </c>
      <c r="T7" s="59">
        <v>11.2</v>
      </c>
      <c r="U7" s="86">
        <v>14.7</v>
      </c>
      <c r="V7" s="59">
        <v>5</v>
      </c>
      <c r="W7" s="59">
        <v>3.5</v>
      </c>
      <c r="X7" s="59">
        <v>4.8</v>
      </c>
      <c r="Y7" s="59">
        <v>72.5</v>
      </c>
      <c r="Z7" s="86">
        <v>85.8</v>
      </c>
      <c r="AA7" s="59">
        <v>3.4</v>
      </c>
      <c r="AB7" s="59">
        <v>3.3</v>
      </c>
      <c r="AC7" s="59">
        <v>2.4</v>
      </c>
      <c r="AD7" s="59">
        <v>4.1</v>
      </c>
      <c r="AE7" s="86">
        <v>13.1</v>
      </c>
      <c r="AF7" s="59">
        <v>1.1</v>
      </c>
      <c r="AG7" s="59">
        <v>1.7</v>
      </c>
      <c r="AH7" s="59">
        <v>7.7</v>
      </c>
      <c r="AI7" s="59">
        <v>18.3</v>
      </c>
      <c r="AJ7" s="86">
        <v>28.8</v>
      </c>
      <c r="AK7" s="59">
        <v>21.7</v>
      </c>
      <c r="AL7" s="59">
        <v>36.86</v>
      </c>
      <c r="AM7" s="59">
        <v>24.911</v>
      </c>
      <c r="AN7" s="59">
        <f>43.7+2.7</f>
        <v>46.400000000000006</v>
      </c>
      <c r="AO7" s="86">
        <v>129.9</v>
      </c>
      <c r="AP7" s="59">
        <v>24.7</v>
      </c>
      <c r="AQ7" s="59">
        <v>10.5</v>
      </c>
      <c r="AR7" s="59">
        <v>8.2</v>
      </c>
      <c r="AS7" s="59">
        <v>19.6</v>
      </c>
      <c r="AT7" s="86">
        <v>63</v>
      </c>
      <c r="AU7" s="59">
        <v>34.3</v>
      </c>
      <c r="AV7" s="59">
        <v>24.4</v>
      </c>
      <c r="AW7" s="59">
        <v>18.5</v>
      </c>
      <c r="AX7" s="59">
        <v>12.2</v>
      </c>
      <c r="AY7" s="86">
        <v>89.4</v>
      </c>
      <c r="AZ7" s="353">
        <v>33.361</v>
      </c>
      <c r="BA7" s="59">
        <v>22.7</v>
      </c>
      <c r="BB7" s="59">
        <v>15.1</v>
      </c>
      <c r="BC7" s="59">
        <v>8.436</v>
      </c>
      <c r="BD7" s="59">
        <v>8.4</v>
      </c>
      <c r="BE7" s="86">
        <v>79.676</v>
      </c>
      <c r="BF7" s="86">
        <v>79.7</v>
      </c>
      <c r="BG7" s="59">
        <v>0.898</v>
      </c>
      <c r="BH7" s="59">
        <v>0.9</v>
      </c>
      <c r="BI7" s="59">
        <v>0.7</v>
      </c>
      <c r="BJ7" s="59">
        <v>0.701</v>
      </c>
      <c r="BK7" s="59">
        <v>9.2</v>
      </c>
      <c r="BL7" s="59">
        <v>9.2</v>
      </c>
      <c r="BM7" s="59">
        <v>7.4</v>
      </c>
      <c r="BN7" s="59">
        <v>7.5</v>
      </c>
      <c r="BO7" s="86">
        <v>18.2</v>
      </c>
      <c r="BP7" s="86">
        <v>18.3</v>
      </c>
      <c r="BQ7" s="59">
        <v>0.9</v>
      </c>
      <c r="BR7" s="59">
        <v>0.7</v>
      </c>
      <c r="BS7" s="59">
        <v>2.696</v>
      </c>
      <c r="BT7" s="59">
        <v>5.6</v>
      </c>
      <c r="BU7" s="86">
        <v>9.9</v>
      </c>
    </row>
    <row r="9" ht="12.75">
      <c r="A9" s="3" t="s">
        <v>247</v>
      </c>
    </row>
    <row r="10" ht="12.75">
      <c r="A10" s="3" t="s">
        <v>523</v>
      </c>
    </row>
    <row r="11" ht="12.75">
      <c r="A11" s="25"/>
    </row>
    <row r="13" spans="1:73" ht="44.25" customHeight="1">
      <c r="A13" s="30" t="s">
        <v>615</v>
      </c>
      <c r="B13" s="7" t="s">
        <v>2</v>
      </c>
      <c r="C13" s="7" t="s">
        <v>3</v>
      </c>
      <c r="D13" s="7" t="s">
        <v>4</v>
      </c>
      <c r="E13" s="6" t="s">
        <v>5</v>
      </c>
      <c r="F13" s="6" t="s">
        <v>6</v>
      </c>
      <c r="G13" s="7" t="s">
        <v>12</v>
      </c>
      <c r="H13" s="7" t="s">
        <v>13</v>
      </c>
      <c r="I13" s="7" t="s">
        <v>14</v>
      </c>
      <c r="J13" s="6" t="s">
        <v>15</v>
      </c>
      <c r="K13" s="6" t="s">
        <v>16</v>
      </c>
      <c r="L13" s="7" t="s">
        <v>17</v>
      </c>
      <c r="M13" s="7" t="s">
        <v>18</v>
      </c>
      <c r="N13" s="7" t="s">
        <v>19</v>
      </c>
      <c r="O13" s="6" t="s">
        <v>20</v>
      </c>
      <c r="P13" s="6" t="s">
        <v>21</v>
      </c>
      <c r="Q13" s="7" t="s">
        <v>22</v>
      </c>
      <c r="R13" s="7" t="s">
        <v>23</v>
      </c>
      <c r="S13" s="7" t="s">
        <v>24</v>
      </c>
      <c r="T13" s="6" t="s">
        <v>25</v>
      </c>
      <c r="U13" s="6" t="s">
        <v>26</v>
      </c>
      <c r="V13" s="7" t="s">
        <v>27</v>
      </c>
      <c r="W13" s="7" t="s">
        <v>28</v>
      </c>
      <c r="X13" s="7" t="s">
        <v>29</v>
      </c>
      <c r="Y13" s="6" t="s">
        <v>30</v>
      </c>
      <c r="Z13" s="6" t="s">
        <v>31</v>
      </c>
      <c r="AA13" s="7" t="s">
        <v>32</v>
      </c>
      <c r="AB13" s="7" t="s">
        <v>33</v>
      </c>
      <c r="AC13" s="7" t="s">
        <v>34</v>
      </c>
      <c r="AD13" s="6" t="s">
        <v>271</v>
      </c>
      <c r="AE13" s="6" t="s">
        <v>272</v>
      </c>
      <c r="AF13" s="7" t="s">
        <v>274</v>
      </c>
      <c r="AG13" s="7" t="s">
        <v>276</v>
      </c>
      <c r="AH13" s="7" t="s">
        <v>278</v>
      </c>
      <c r="AI13" s="6" t="s">
        <v>280</v>
      </c>
      <c r="AJ13" s="6" t="s">
        <v>281</v>
      </c>
      <c r="AK13" s="7" t="s">
        <v>289</v>
      </c>
      <c r="AL13" s="7" t="s">
        <v>290</v>
      </c>
      <c r="AM13" s="7" t="s">
        <v>291</v>
      </c>
      <c r="AN13" s="6" t="s">
        <v>292</v>
      </c>
      <c r="AO13" s="6" t="s">
        <v>293</v>
      </c>
      <c r="AP13" s="7" t="s">
        <v>329</v>
      </c>
      <c r="AQ13" s="7" t="s">
        <v>330</v>
      </c>
      <c r="AR13" s="7" t="s">
        <v>331</v>
      </c>
      <c r="AS13" s="6" t="s">
        <v>332</v>
      </c>
      <c r="AT13" s="6" t="s">
        <v>333</v>
      </c>
      <c r="AU13" s="7" t="s">
        <v>448</v>
      </c>
      <c r="AV13" s="7" t="s">
        <v>451</v>
      </c>
      <c r="AW13" s="7" t="s">
        <v>453</v>
      </c>
      <c r="AX13" s="7" t="s">
        <v>454</v>
      </c>
      <c r="AY13" s="6" t="s">
        <v>457</v>
      </c>
      <c r="AZ13" s="342"/>
      <c r="BA13" s="7"/>
      <c r="BB13" s="7"/>
      <c r="BC13" s="7"/>
      <c r="BD13" s="7" t="str">
        <f>BD3</f>
        <v>Q4 2010 restated***</v>
      </c>
      <c r="BE13" s="7"/>
      <c r="BF13" s="7" t="str">
        <f>BF3</f>
        <v>FY 2010 restated***</v>
      </c>
      <c r="BG13" s="7" t="s">
        <v>495</v>
      </c>
      <c r="BH13" s="7" t="s">
        <v>598</v>
      </c>
      <c r="BI13" s="7" t="s">
        <v>554</v>
      </c>
      <c r="BJ13" s="7" t="s">
        <v>614</v>
      </c>
      <c r="BK13" s="7" t="s">
        <v>561</v>
      </c>
      <c r="BL13" s="7" t="str">
        <f>BL3</f>
        <v>Q3 2011 restated***</v>
      </c>
      <c r="BM13" s="7" t="s">
        <v>570</v>
      </c>
      <c r="BN13" s="7" t="s">
        <v>596</v>
      </c>
      <c r="BO13" s="7" t="s">
        <v>574</v>
      </c>
      <c r="BP13" s="7" t="s">
        <v>597</v>
      </c>
      <c r="BQ13" s="7" t="s">
        <v>595</v>
      </c>
      <c r="BR13" s="7" t="s">
        <v>605</v>
      </c>
      <c r="BS13" s="7" t="s">
        <v>617</v>
      </c>
      <c r="BT13" s="7" t="s">
        <v>617</v>
      </c>
      <c r="BU13" s="7"/>
    </row>
    <row r="14" spans="1:73" ht="12.75">
      <c r="A14" s="45"/>
      <c r="B14" s="37"/>
      <c r="C14" s="37"/>
      <c r="D14" s="37"/>
      <c r="E14" s="38"/>
      <c r="F14" s="38"/>
      <c r="G14" s="37"/>
      <c r="H14" s="37"/>
      <c r="I14" s="37"/>
      <c r="J14" s="38"/>
      <c r="K14" s="38"/>
      <c r="L14" s="37"/>
      <c r="M14" s="37"/>
      <c r="N14" s="37"/>
      <c r="O14" s="38"/>
      <c r="P14" s="38"/>
      <c r="Q14" s="37"/>
      <c r="R14" s="37"/>
      <c r="S14" s="37"/>
      <c r="T14" s="38"/>
      <c r="U14" s="38"/>
      <c r="V14" s="37"/>
      <c r="W14" s="37"/>
      <c r="X14" s="37"/>
      <c r="Y14" s="38"/>
      <c r="Z14" s="38"/>
      <c r="AA14" s="37"/>
      <c r="AB14" s="37"/>
      <c r="AC14" s="37"/>
      <c r="AD14" s="38"/>
      <c r="AE14" s="38"/>
      <c r="AF14" s="37"/>
      <c r="AG14" s="37"/>
      <c r="AH14" s="37"/>
      <c r="AI14" s="38"/>
      <c r="AJ14" s="38"/>
      <c r="AK14" s="37"/>
      <c r="AL14" s="37"/>
      <c r="AM14" s="37"/>
      <c r="AN14" s="38"/>
      <c r="AO14" s="38"/>
      <c r="AP14" s="37"/>
      <c r="AQ14" s="37"/>
      <c r="AR14" s="37"/>
      <c r="AS14" s="38"/>
      <c r="AT14" s="38"/>
      <c r="AU14" s="37"/>
      <c r="AV14" s="37"/>
      <c r="AW14" s="37"/>
      <c r="AX14" s="37"/>
      <c r="AY14" s="38"/>
      <c r="AZ14" s="345"/>
      <c r="BA14" s="37"/>
      <c r="BB14" s="37"/>
      <c r="BC14" s="37"/>
      <c r="BD14" s="37"/>
      <c r="BE14" s="38"/>
      <c r="BF14" s="38"/>
      <c r="BG14" s="37"/>
      <c r="BH14" s="37"/>
      <c r="BI14" s="37"/>
      <c r="BJ14" s="37"/>
      <c r="BK14" s="37"/>
      <c r="BL14" s="37"/>
      <c r="BM14" s="37"/>
      <c r="BN14" s="37"/>
      <c r="BO14" s="37"/>
      <c r="BP14" s="37"/>
      <c r="BQ14" s="37"/>
      <c r="BR14" s="37"/>
      <c r="BS14" s="37"/>
      <c r="BT14" s="37"/>
      <c r="BU14" s="37"/>
    </row>
    <row r="15" spans="1:73" ht="12.75">
      <c r="A15" s="31" t="s">
        <v>8</v>
      </c>
      <c r="B15" s="81"/>
      <c r="C15" s="81"/>
      <c r="D15" s="81"/>
      <c r="E15" s="81"/>
      <c r="F15" s="79"/>
      <c r="G15" s="81"/>
      <c r="H15" s="81"/>
      <c r="I15" s="81"/>
      <c r="J15" s="81"/>
      <c r="K15" s="79"/>
      <c r="L15" s="81"/>
      <c r="M15" s="81"/>
      <c r="N15" s="81"/>
      <c r="O15" s="81"/>
      <c r="P15" s="79"/>
      <c r="Q15" s="59">
        <v>11.9</v>
      </c>
      <c r="R15" s="59">
        <v>7.8</v>
      </c>
      <c r="S15" s="59">
        <v>8</v>
      </c>
      <c r="T15" s="59">
        <v>9.4</v>
      </c>
      <c r="U15" s="86">
        <v>37.1</v>
      </c>
      <c r="V15" s="59">
        <v>13.4</v>
      </c>
      <c r="W15" s="59">
        <v>9.3</v>
      </c>
      <c r="X15" s="59">
        <v>7.8</v>
      </c>
      <c r="Y15" s="59">
        <v>10</v>
      </c>
      <c r="Z15" s="86">
        <v>40.5</v>
      </c>
      <c r="AA15" s="59">
        <v>15.2</v>
      </c>
      <c r="AB15" s="59">
        <v>8.6</v>
      </c>
      <c r="AC15" s="59">
        <v>8.9</v>
      </c>
      <c r="AD15" s="59">
        <v>10.6</v>
      </c>
      <c r="AE15" s="86">
        <v>43.3</v>
      </c>
      <c r="AF15" s="59">
        <v>14.4</v>
      </c>
      <c r="AG15" s="59">
        <v>9.7</v>
      </c>
      <c r="AH15" s="59">
        <v>10.2</v>
      </c>
      <c r="AI15" s="59">
        <v>10.8</v>
      </c>
      <c r="AJ15" s="86">
        <v>45.8</v>
      </c>
      <c r="AK15" s="59">
        <v>12.9</v>
      </c>
      <c r="AL15" s="59">
        <v>10.1</v>
      </c>
      <c r="AM15" s="59">
        <v>10.8</v>
      </c>
      <c r="AN15" s="59">
        <v>12.6</v>
      </c>
      <c r="AO15" s="86">
        <v>46.5</v>
      </c>
      <c r="AP15" s="59">
        <v>16.4</v>
      </c>
      <c r="AQ15" s="59">
        <v>10.9</v>
      </c>
      <c r="AR15" s="59">
        <v>13.9</v>
      </c>
      <c r="AS15" s="59">
        <v>14.5</v>
      </c>
      <c r="AT15" s="86">
        <v>55.7</v>
      </c>
      <c r="AU15" s="59">
        <v>21.6</v>
      </c>
      <c r="AV15" s="59">
        <v>14.6</v>
      </c>
      <c r="AW15" s="59">
        <v>9.6</v>
      </c>
      <c r="AX15" s="59">
        <v>14.4</v>
      </c>
      <c r="AY15" s="86">
        <v>60.2</v>
      </c>
      <c r="AZ15" s="353">
        <f aca="true" t="shared" si="0" ref="AZ15:BA17">AU15</f>
        <v>21.6</v>
      </c>
      <c r="BA15" s="59">
        <f t="shared" si="0"/>
        <v>14.6</v>
      </c>
      <c r="BB15" s="59">
        <v>9.5</v>
      </c>
      <c r="BC15" s="59">
        <f>AX15</f>
        <v>14.4</v>
      </c>
      <c r="BD15" s="3">
        <v>14.4</v>
      </c>
      <c r="BE15" s="86">
        <f>AY15</f>
        <v>60.2</v>
      </c>
      <c r="BF15" s="86">
        <v>60.4</v>
      </c>
      <c r="BG15" s="59">
        <v>16.9</v>
      </c>
      <c r="BH15" s="59">
        <v>16.9</v>
      </c>
      <c r="BI15" s="59">
        <v>13.5</v>
      </c>
      <c r="BJ15" s="59">
        <v>13.6</v>
      </c>
      <c r="BK15" s="59">
        <v>15.8</v>
      </c>
      <c r="BL15" s="59">
        <v>15.8</v>
      </c>
      <c r="BM15" s="59">
        <v>18.4</v>
      </c>
      <c r="BN15" s="59">
        <v>18.5</v>
      </c>
      <c r="BO15" s="86">
        <v>64.8</v>
      </c>
      <c r="BP15" s="86">
        <v>64.9</v>
      </c>
      <c r="BQ15" s="59">
        <v>25.3</v>
      </c>
      <c r="BR15" s="59">
        <v>18.2</v>
      </c>
      <c r="BS15" s="514"/>
      <c r="BT15" s="514"/>
      <c r="BU15" s="514"/>
    </row>
    <row r="16" spans="1:73" ht="12.75">
      <c r="A16" s="29" t="s">
        <v>35</v>
      </c>
      <c r="B16" s="82"/>
      <c r="C16" s="82"/>
      <c r="D16" s="82"/>
      <c r="E16" s="82"/>
      <c r="F16" s="80"/>
      <c r="G16" s="82"/>
      <c r="H16" s="82"/>
      <c r="I16" s="82"/>
      <c r="J16" s="82"/>
      <c r="K16" s="80"/>
      <c r="L16" s="82"/>
      <c r="M16" s="82"/>
      <c r="N16" s="82"/>
      <c r="O16" s="82"/>
      <c r="P16" s="80"/>
      <c r="Q16" s="60">
        <v>9</v>
      </c>
      <c r="R16" s="60">
        <v>4.9</v>
      </c>
      <c r="S16" s="60">
        <v>5.1</v>
      </c>
      <c r="T16" s="60">
        <v>5.3</v>
      </c>
      <c r="U16" s="87">
        <v>24.3</v>
      </c>
      <c r="V16" s="60">
        <v>10.6</v>
      </c>
      <c r="W16" s="60">
        <v>6.3</v>
      </c>
      <c r="X16" s="60">
        <v>4.8</v>
      </c>
      <c r="Y16" s="60">
        <v>5.5</v>
      </c>
      <c r="Z16" s="87">
        <v>27.3</v>
      </c>
      <c r="AA16" s="60">
        <v>12.2</v>
      </c>
      <c r="AB16" s="60">
        <v>5.6</v>
      </c>
      <c r="AC16" s="60">
        <v>5.4</v>
      </c>
      <c r="AD16" s="60">
        <v>6.2</v>
      </c>
      <c r="AE16" s="87">
        <v>29.3</v>
      </c>
      <c r="AF16" s="60">
        <v>11.1</v>
      </c>
      <c r="AG16" s="60">
        <v>6.4</v>
      </c>
      <c r="AH16" s="60">
        <v>5.9</v>
      </c>
      <c r="AI16" s="60">
        <v>6.8</v>
      </c>
      <c r="AJ16" s="87">
        <v>30.9</v>
      </c>
      <c r="AK16" s="60">
        <v>9.3</v>
      </c>
      <c r="AL16" s="60">
        <v>6.4</v>
      </c>
      <c r="AM16" s="60">
        <v>6.9</v>
      </c>
      <c r="AN16" s="60">
        <v>7.8</v>
      </c>
      <c r="AO16" s="87">
        <v>30.5</v>
      </c>
      <c r="AP16" s="60">
        <v>12.9</v>
      </c>
      <c r="AQ16" s="60">
        <v>7.2</v>
      </c>
      <c r="AR16" s="60">
        <v>10.5</v>
      </c>
      <c r="AS16" s="60">
        <v>9.6</v>
      </c>
      <c r="AT16" s="87">
        <v>40.2</v>
      </c>
      <c r="AU16" s="60">
        <v>17.7</v>
      </c>
      <c r="AV16" s="60">
        <v>10.7</v>
      </c>
      <c r="AW16" s="60">
        <v>5.3</v>
      </c>
      <c r="AX16" s="60">
        <v>10.1</v>
      </c>
      <c r="AY16" s="87">
        <v>43.8</v>
      </c>
      <c r="AZ16" s="353">
        <f t="shared" si="0"/>
        <v>17.7</v>
      </c>
      <c r="BA16" s="59">
        <f t="shared" si="0"/>
        <v>10.7</v>
      </c>
      <c r="BB16" s="59">
        <v>5.3</v>
      </c>
      <c r="BC16" s="59">
        <f>AX16</f>
        <v>10.1</v>
      </c>
      <c r="BD16" s="3">
        <v>10.1</v>
      </c>
      <c r="BE16" s="86">
        <f>AY16</f>
        <v>43.8</v>
      </c>
      <c r="BF16" s="87">
        <v>44</v>
      </c>
      <c r="BG16" s="60">
        <v>12.8</v>
      </c>
      <c r="BH16" s="60">
        <v>12.9</v>
      </c>
      <c r="BI16" s="60">
        <v>9.5</v>
      </c>
      <c r="BJ16" s="60">
        <v>9.6</v>
      </c>
      <c r="BK16" s="60">
        <v>11.7</v>
      </c>
      <c r="BL16" s="60">
        <v>11.7</v>
      </c>
      <c r="BM16" s="60">
        <v>12.4</v>
      </c>
      <c r="BN16" s="60">
        <v>12.6</v>
      </c>
      <c r="BO16" s="87">
        <v>46.6</v>
      </c>
      <c r="BP16" s="87">
        <v>46.7</v>
      </c>
      <c r="BQ16" s="60">
        <v>20.5</v>
      </c>
      <c r="BR16" s="60">
        <v>13.4</v>
      </c>
      <c r="BS16" s="514"/>
      <c r="BT16" s="514"/>
      <c r="BU16" s="514"/>
    </row>
    <row r="17" spans="1:73" ht="12.75">
      <c r="A17" s="31" t="s">
        <v>245</v>
      </c>
      <c r="B17" s="81"/>
      <c r="C17" s="81"/>
      <c r="D17" s="81"/>
      <c r="E17" s="81"/>
      <c r="F17" s="79"/>
      <c r="G17" s="81"/>
      <c r="H17" s="81"/>
      <c r="I17" s="81"/>
      <c r="J17" s="81"/>
      <c r="K17" s="79"/>
      <c r="L17" s="81"/>
      <c r="M17" s="81"/>
      <c r="N17" s="81"/>
      <c r="O17" s="81"/>
      <c r="P17" s="79"/>
      <c r="Q17" s="59">
        <v>0.2</v>
      </c>
      <c r="R17" s="59">
        <v>0.3</v>
      </c>
      <c r="S17" s="59">
        <v>1.2</v>
      </c>
      <c r="T17" s="59">
        <v>4</v>
      </c>
      <c r="U17" s="86">
        <v>5.7</v>
      </c>
      <c r="V17" s="59">
        <v>0.3</v>
      </c>
      <c r="W17" s="59">
        <v>1.6</v>
      </c>
      <c r="X17" s="59">
        <v>2.3</v>
      </c>
      <c r="Y17" s="59">
        <v>7.2</v>
      </c>
      <c r="Z17" s="86">
        <v>11.4</v>
      </c>
      <c r="AA17" s="59">
        <v>1.4</v>
      </c>
      <c r="AB17" s="59">
        <v>3.3</v>
      </c>
      <c r="AC17" s="59">
        <v>2.4</v>
      </c>
      <c r="AD17" s="59">
        <v>4.1</v>
      </c>
      <c r="AE17" s="86">
        <v>11.2</v>
      </c>
      <c r="AF17" s="59">
        <v>1.1</v>
      </c>
      <c r="AG17" s="59">
        <v>1.7</v>
      </c>
      <c r="AH17" s="59">
        <v>7.7</v>
      </c>
      <c r="AI17" s="59">
        <v>11.9</v>
      </c>
      <c r="AJ17" s="86">
        <v>22.4</v>
      </c>
      <c r="AK17" s="59">
        <v>17.5</v>
      </c>
      <c r="AL17" s="59">
        <v>27.6</v>
      </c>
      <c r="AM17" s="59">
        <v>13.1</v>
      </c>
      <c r="AN17" s="59">
        <v>15.6</v>
      </c>
      <c r="AO17" s="86">
        <v>73.8</v>
      </c>
      <c r="AP17" s="59">
        <v>12.6</v>
      </c>
      <c r="AQ17" s="59">
        <v>4</v>
      </c>
      <c r="AR17" s="59">
        <v>3.1</v>
      </c>
      <c r="AS17" s="59">
        <v>12</v>
      </c>
      <c r="AT17" s="86">
        <v>31.7</v>
      </c>
      <c r="AU17" s="59">
        <v>32.4</v>
      </c>
      <c r="AV17" s="59">
        <v>20.2</v>
      </c>
      <c r="AW17" s="59">
        <v>13.7</v>
      </c>
      <c r="AX17" s="59">
        <v>8.4</v>
      </c>
      <c r="AY17" s="86">
        <v>74.7</v>
      </c>
      <c r="AZ17" s="353">
        <f t="shared" si="0"/>
        <v>32.4</v>
      </c>
      <c r="BA17" s="59">
        <f t="shared" si="0"/>
        <v>20.2</v>
      </c>
      <c r="BB17" s="59">
        <v>13.7</v>
      </c>
      <c r="BC17" s="59">
        <f>AX17</f>
        <v>8.4</v>
      </c>
      <c r="BD17" s="3">
        <v>8.4</v>
      </c>
      <c r="BE17" s="86">
        <f>AY17</f>
        <v>74.7</v>
      </c>
      <c r="BF17" s="86">
        <v>74.7</v>
      </c>
      <c r="BG17" s="59">
        <v>0</v>
      </c>
      <c r="BH17" s="59">
        <v>0</v>
      </c>
      <c r="BI17" s="59">
        <v>0.7</v>
      </c>
      <c r="BJ17" s="59">
        <v>0.7</v>
      </c>
      <c r="BK17" s="59">
        <v>9.2</v>
      </c>
      <c r="BL17" s="59">
        <v>9.2</v>
      </c>
      <c r="BM17" s="59">
        <v>6.4</v>
      </c>
      <c r="BN17" s="59">
        <v>6.4</v>
      </c>
      <c r="BO17" s="86">
        <v>16.3</v>
      </c>
      <c r="BP17" s="86">
        <v>16.4</v>
      </c>
      <c r="BQ17" s="59">
        <v>0.9</v>
      </c>
      <c r="BR17" s="59">
        <v>0.8</v>
      </c>
      <c r="BS17" s="514"/>
      <c r="BT17" s="514"/>
      <c r="BU17" s="514"/>
    </row>
    <row r="19" spans="1:46" ht="27">
      <c r="A19" s="28" t="s">
        <v>312</v>
      </c>
      <c r="AT19" s="3"/>
    </row>
    <row r="20" ht="12.75">
      <c r="A20" s="260"/>
    </row>
    <row r="21" ht="12.75">
      <c r="A21" s="260"/>
    </row>
  </sheetData>
  <sheetProtection/>
  <printOptions/>
  <pageMargins left="0.75" right="0.75" top="1" bottom="1" header="0.5" footer="0.5"/>
  <pageSetup fitToHeight="1" fitToWidth="1" horizontalDpi="300" verticalDpi="300" orientation="landscape"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Palicska Rita</cp:lastModifiedBy>
  <cp:lastPrinted>2012-05-14T07:56:46Z</cp:lastPrinted>
  <dcterms:created xsi:type="dcterms:W3CDTF">2011-02-11T08:05:04Z</dcterms:created>
  <dcterms:modified xsi:type="dcterms:W3CDTF">2013-02-25T16:58:10Z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BExAnalyzer_OldName">
    <vt:lpwstr>MOL Group - FR tables - Q1 2001 - Q3 2012.xls</vt:lpwstr>
  </property>
</Properties>
</file>